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Owner\Documents\Pacifica\PDP\"/>
    </mc:Choice>
  </mc:AlternateContent>
  <xr:revisionPtr revIDLastSave="0" documentId="13_ncr:1_{58B02DA5-EF81-4810-A445-DC88675E0045}" xr6:coauthVersionLast="47" xr6:coauthVersionMax="47" xr10:uidLastSave="{00000000-0000-0000-0000-000000000000}"/>
  <bookViews>
    <workbookView minimized="1" xWindow="1783" yWindow="1783" windowWidth="12343" windowHeight="6651" firstSheet="1" activeTab="1" xr2:uid="{00000000-000D-0000-FFFF-FFFF00000000}"/>
  </bookViews>
  <sheets>
    <sheet name="Consolidated" sheetId="1" r:id="rId1"/>
    <sheet name="Calcs" sheetId="10" r:id="rId2"/>
    <sheet name="KPFA" sheetId="2" r:id="rId3"/>
    <sheet name="KPFK" sheetId="3" r:id="rId4"/>
    <sheet name="KPFT" sheetId="4" r:id="rId5"/>
    <sheet name="WBAI" sheetId="5" r:id="rId6"/>
    <sheet name="WPFW" sheetId="6" r:id="rId7"/>
    <sheet name="PAN" sheetId="9" r:id="rId8"/>
    <sheet name="PNO" sheetId="7" r:id="rId9"/>
    <sheet name="PRA" sheetId="8" r:id="rId10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0" l="1"/>
  <c r="B14" i="10"/>
  <c r="C13" i="10"/>
  <c r="B13" i="10"/>
  <c r="C11" i="10"/>
  <c r="B11" i="10"/>
  <c r="C12" i="10"/>
  <c r="B12" i="10"/>
  <c r="C10" i="10"/>
  <c r="B10" i="10"/>
  <c r="C6" i="10"/>
  <c r="C5" i="10"/>
  <c r="C4" i="10"/>
  <c r="C3" i="10"/>
  <c r="C2" i="10"/>
  <c r="B6" i="10"/>
  <c r="B5" i="10"/>
  <c r="B4" i="10"/>
  <c r="B3" i="10"/>
  <c r="B2" i="10"/>
  <c r="C1" i="10"/>
  <c r="B1" i="10"/>
  <c r="W63" i="7"/>
  <c r="W80" i="7" s="1"/>
  <c r="U71" i="7"/>
  <c r="U80" i="7" s="1"/>
  <c r="T71" i="7"/>
  <c r="T80" i="7" s="1"/>
  <c r="V41" i="7"/>
  <c r="Z21" i="7"/>
  <c r="V21" i="7"/>
  <c r="Y63" i="7"/>
  <c r="Y80" i="7" s="1"/>
  <c r="Y62" i="7"/>
  <c r="X71" i="7"/>
  <c r="X63" i="7"/>
  <c r="X80" i="7" s="1"/>
  <c r="V63" i="7"/>
  <c r="V80" i="7" s="1"/>
  <c r="Z64" i="7"/>
  <c r="Z65" i="7"/>
  <c r="Z66" i="7"/>
  <c r="Z67" i="7"/>
  <c r="Z68" i="7"/>
  <c r="Z69" i="7"/>
  <c r="Z70" i="7"/>
  <c r="Z72" i="7"/>
  <c r="Z73" i="7"/>
  <c r="Z74" i="7"/>
  <c r="Z75" i="7"/>
  <c r="W62" i="7"/>
  <c r="V62" i="7"/>
  <c r="U62" i="7"/>
  <c r="T62" i="7"/>
  <c r="Z62" i="7" s="1"/>
  <c r="Z38" i="7"/>
  <c r="Y41" i="7"/>
  <c r="Y40" i="7"/>
  <c r="Z40" i="7" s="1"/>
  <c r="Y39" i="7"/>
  <c r="Y37" i="7"/>
  <c r="Y36" i="7"/>
  <c r="X41" i="7"/>
  <c r="X40" i="7"/>
  <c r="X39" i="7"/>
  <c r="X37" i="7"/>
  <c r="X36" i="7"/>
  <c r="W41" i="7"/>
  <c r="W40" i="7"/>
  <c r="W39" i="7"/>
  <c r="W37" i="7"/>
  <c r="W36" i="7"/>
  <c r="V40" i="7"/>
  <c r="V39" i="7"/>
  <c r="V37" i="7"/>
  <c r="V36" i="7"/>
  <c r="U41" i="7"/>
  <c r="U40" i="7"/>
  <c r="U39" i="7"/>
  <c r="Z39" i="7" s="1"/>
  <c r="U37" i="7"/>
  <c r="U36" i="7"/>
  <c r="T41" i="7"/>
  <c r="Z41" i="7" s="1"/>
  <c r="T40" i="7"/>
  <c r="T39" i="7"/>
  <c r="T37" i="7"/>
  <c r="Z37" i="7" s="1"/>
  <c r="T36" i="7"/>
  <c r="Z36" i="7" s="1"/>
  <c r="X24" i="7"/>
  <c r="Z19" i="7"/>
  <c r="Y21" i="7"/>
  <c r="Y19" i="7"/>
  <c r="Y24" i="7" s="1"/>
  <c r="X21" i="7"/>
  <c r="X19" i="7"/>
  <c r="W21" i="7"/>
  <c r="W24" i="7" s="1"/>
  <c r="W19" i="7"/>
  <c r="V19" i="7"/>
  <c r="V24" i="7" s="1"/>
  <c r="U21" i="7"/>
  <c r="U19" i="7"/>
  <c r="U24" i="7" s="1"/>
  <c r="T21" i="7"/>
  <c r="T19" i="7"/>
  <c r="T24" i="7" s="1"/>
  <c r="H40" i="9"/>
  <c r="H37" i="9"/>
  <c r="H36" i="9"/>
  <c r="D14" i="10" l="1"/>
  <c r="E14" i="10" s="1"/>
  <c r="D10" i="10"/>
  <c r="E10" i="10" s="1"/>
  <c r="D12" i="10"/>
  <c r="E12" i="10" s="1"/>
  <c r="D11" i="10"/>
  <c r="E11" i="10" s="1"/>
  <c r="D13" i="10"/>
  <c r="E13" i="10" s="1"/>
  <c r="D5" i="10"/>
  <c r="E5" i="10" s="1"/>
  <c r="D6" i="10"/>
  <c r="E6" i="10" s="1"/>
  <c r="D2" i="10"/>
  <c r="E2" i="10" s="1"/>
  <c r="D4" i="10"/>
  <c r="E4" i="10" s="1"/>
  <c r="D3" i="10"/>
  <c r="E3" i="10" s="1"/>
  <c r="T43" i="7"/>
  <c r="Z24" i="7"/>
  <c r="Z71" i="7"/>
  <c r="Z80" i="7" s="1"/>
  <c r="Z43" i="7"/>
  <c r="Z63" i="7"/>
  <c r="Y43" i="7"/>
  <c r="X43" i="7"/>
  <c r="W43" i="7"/>
  <c r="V43" i="7"/>
  <c r="U43" i="7"/>
  <c r="H39" i="9"/>
  <c r="H43" i="9" s="1"/>
  <c r="H19" i="9" s="1"/>
  <c r="H72" i="9"/>
  <c r="H81" i="9" s="1"/>
  <c r="H21" i="9" s="1"/>
  <c r="H63" i="9"/>
  <c r="H108" i="9"/>
  <c r="H27" i="9"/>
  <c r="H28" i="9" s="1"/>
  <c r="H20" i="9"/>
  <c r="H22" i="9"/>
  <c r="H23" i="9"/>
  <c r="H16" i="9"/>
  <c r="U16" i="7"/>
  <c r="V16" i="7"/>
  <c r="W16" i="7"/>
  <c r="X16" i="7"/>
  <c r="Y16" i="7"/>
  <c r="Z16" i="7"/>
  <c r="T16" i="7"/>
  <c r="H99" i="9" l="1"/>
  <c r="H110" i="9" s="1"/>
  <c r="H113" i="9" s="1"/>
  <c r="H24" i="9"/>
  <c r="H30" i="9" s="1"/>
  <c r="H32" i="9" s="1"/>
  <c r="U105" i="7" l="1"/>
  <c r="U107" i="7" s="1"/>
  <c r="U110" i="7" s="1"/>
  <c r="V105" i="7"/>
  <c r="V107" i="7" s="1"/>
  <c r="V110" i="7" s="1"/>
  <c r="W105" i="7"/>
  <c r="W27" i="7" s="1"/>
  <c r="W28" i="7" s="1"/>
  <c r="W30" i="7" s="1"/>
  <c r="W32" i="7" s="1"/>
  <c r="X105" i="7"/>
  <c r="X27" i="7" s="1"/>
  <c r="X28" i="7" s="1"/>
  <c r="X30" i="7" s="1"/>
  <c r="X32" i="7" s="1"/>
  <c r="Y105" i="7"/>
  <c r="Y107" i="7" s="1"/>
  <c r="Y110" i="7" s="1"/>
  <c r="T105" i="7"/>
  <c r="T107" i="7" s="1"/>
  <c r="T110" i="7" s="1"/>
  <c r="Z102" i="7"/>
  <c r="AC84" i="8"/>
  <c r="AC63" i="8"/>
  <c r="AC67" i="8"/>
  <c r="AC57" i="8"/>
  <c r="AC46" i="8"/>
  <c r="AC50" i="8"/>
  <c r="AC45" i="8"/>
  <c r="AC37" i="8"/>
  <c r="AC38" i="8"/>
  <c r="AC30" i="8"/>
  <c r="AC28" i="8"/>
  <c r="AB87" i="8"/>
  <c r="AC87" i="8" s="1"/>
  <c r="AB84" i="8"/>
  <c r="AB81" i="8"/>
  <c r="AC81" i="8" s="1"/>
  <c r="AB80" i="8"/>
  <c r="AC80" i="8" s="1"/>
  <c r="AB79" i="8"/>
  <c r="AC79" i="8" s="1"/>
  <c r="AB78" i="8"/>
  <c r="AC78" i="8" s="1"/>
  <c r="AB77" i="8"/>
  <c r="AC77" i="8" s="1"/>
  <c r="AB74" i="8"/>
  <c r="AC74" i="8" s="1"/>
  <c r="AB71" i="8"/>
  <c r="AC71" i="8" s="1"/>
  <c r="AB67" i="8"/>
  <c r="AB66" i="8"/>
  <c r="AC66" i="8" s="1"/>
  <c r="AB65" i="8"/>
  <c r="AC65" i="8" s="1"/>
  <c r="AB64" i="8"/>
  <c r="AC64" i="8" s="1"/>
  <c r="AB63" i="8"/>
  <c r="AB62" i="8"/>
  <c r="AC62" i="8" s="1"/>
  <c r="AB58" i="8"/>
  <c r="AC58" i="8" s="1"/>
  <c r="AB57" i="8"/>
  <c r="AB53" i="8"/>
  <c r="AC53" i="8" s="1"/>
  <c r="AB52" i="8"/>
  <c r="AC52" i="8" s="1"/>
  <c r="AB51" i="8"/>
  <c r="AC51" i="8" s="1"/>
  <c r="AB50" i="8"/>
  <c r="AB49" i="8"/>
  <c r="AC49" i="8" s="1"/>
  <c r="AB48" i="8"/>
  <c r="AC48" i="8" s="1"/>
  <c r="AB47" i="8"/>
  <c r="AC47" i="8" s="1"/>
  <c r="AB46" i="8"/>
  <c r="AB45" i="8"/>
  <c r="AB39" i="8"/>
  <c r="AC39" i="8" s="1"/>
  <c r="AB38" i="8"/>
  <c r="AB37" i="8"/>
  <c r="AB36" i="8"/>
  <c r="AC36" i="8" s="1"/>
  <c r="AB35" i="8"/>
  <c r="AC35" i="8" s="1"/>
  <c r="AB34" i="8"/>
  <c r="AC34" i="8" s="1"/>
  <c r="AB30" i="8"/>
  <c r="AB28" i="8"/>
  <c r="AB25" i="8"/>
  <c r="AC25" i="8" s="1"/>
  <c r="AB21" i="8"/>
  <c r="AB20" i="8"/>
  <c r="AB19" i="8"/>
  <c r="AB18" i="8"/>
  <c r="AB17" i="8"/>
  <c r="AB13" i="8"/>
  <c r="AB12" i="8"/>
  <c r="AB11" i="8"/>
  <c r="AB10" i="8"/>
  <c r="AB9" i="8"/>
  <c r="AB8" i="8"/>
  <c r="AC99" i="7"/>
  <c r="AC90" i="7"/>
  <c r="AC86" i="7"/>
  <c r="AC83" i="7"/>
  <c r="AC62" i="7"/>
  <c r="AC66" i="7"/>
  <c r="AC70" i="7"/>
  <c r="AC74" i="7"/>
  <c r="AC78" i="7"/>
  <c r="AC52" i="7"/>
  <c r="AC37" i="7"/>
  <c r="AC41" i="7"/>
  <c r="AB110" i="7"/>
  <c r="AB107" i="7"/>
  <c r="AB104" i="7"/>
  <c r="AC104" i="7" s="1"/>
  <c r="AB103" i="7"/>
  <c r="AC103" i="7" s="1"/>
  <c r="AB102" i="7"/>
  <c r="AB101" i="7"/>
  <c r="AC101" i="7" s="1"/>
  <c r="AB100" i="7"/>
  <c r="AC100" i="7" s="1"/>
  <c r="AB99" i="7"/>
  <c r="AB96" i="7"/>
  <c r="AC96" i="7" s="1"/>
  <c r="AB92" i="7"/>
  <c r="AC92" i="7" s="1"/>
  <c r="AB91" i="7"/>
  <c r="AC91" i="7" s="1"/>
  <c r="AB90" i="7"/>
  <c r="AB86" i="7"/>
  <c r="AB85" i="7"/>
  <c r="AC85" i="7" s="1"/>
  <c r="AD85" i="7" s="1"/>
  <c r="AB84" i="7"/>
  <c r="AC84" i="7" s="1"/>
  <c r="AB83" i="7"/>
  <c r="AB79" i="7"/>
  <c r="AC79" i="7" s="1"/>
  <c r="AB78" i="7"/>
  <c r="AB77" i="7"/>
  <c r="AC77" i="7" s="1"/>
  <c r="AB76" i="7"/>
  <c r="AC76" i="7" s="1"/>
  <c r="AB75" i="7"/>
  <c r="AC75" i="7" s="1"/>
  <c r="AB74" i="7"/>
  <c r="AB73" i="7"/>
  <c r="AC73" i="7" s="1"/>
  <c r="AB72" i="7"/>
  <c r="AC72" i="7" s="1"/>
  <c r="AB71" i="7"/>
  <c r="AC71" i="7" s="1"/>
  <c r="AB70" i="7"/>
  <c r="AB69" i="7"/>
  <c r="AC69" i="7" s="1"/>
  <c r="AB68" i="7"/>
  <c r="AC68" i="7" s="1"/>
  <c r="AB67" i="7"/>
  <c r="AC67" i="7" s="1"/>
  <c r="AB66" i="7"/>
  <c r="AB65" i="7"/>
  <c r="AC65" i="7" s="1"/>
  <c r="AB64" i="7"/>
  <c r="AC64" i="7" s="1"/>
  <c r="AB63" i="7"/>
  <c r="AC63" i="7" s="1"/>
  <c r="AB62" i="7"/>
  <c r="AB61" i="7"/>
  <c r="AC61" i="7" s="1"/>
  <c r="AB60" i="7"/>
  <c r="AC60" i="7" s="1"/>
  <c r="AB59" i="7"/>
  <c r="AC59" i="7" s="1"/>
  <c r="AB58" i="7"/>
  <c r="AC58" i="7" s="1"/>
  <c r="AB55" i="7"/>
  <c r="AC55" i="7" s="1"/>
  <c r="AB52" i="7"/>
  <c r="AB51" i="7"/>
  <c r="AC51" i="7" s="1"/>
  <c r="AB47" i="7"/>
  <c r="AC47" i="7" s="1"/>
  <c r="AB42" i="7"/>
  <c r="AC42" i="7" s="1"/>
  <c r="AB41" i="7"/>
  <c r="AB40" i="7"/>
  <c r="AC40" i="7" s="1"/>
  <c r="AB39" i="7"/>
  <c r="AC39" i="7" s="1"/>
  <c r="AB38" i="7"/>
  <c r="AC38" i="7" s="1"/>
  <c r="AB37" i="7"/>
  <c r="AB36" i="7"/>
  <c r="AC36" i="7" s="1"/>
  <c r="AB32" i="7"/>
  <c r="AB30" i="7"/>
  <c r="AB27" i="7"/>
  <c r="AB23" i="7"/>
  <c r="AB22" i="7"/>
  <c r="AB21" i="7"/>
  <c r="AB20" i="7"/>
  <c r="AB19" i="7"/>
  <c r="AB15" i="7"/>
  <c r="AB14" i="7"/>
  <c r="AB13" i="7"/>
  <c r="AB12" i="7"/>
  <c r="AB11" i="7"/>
  <c r="AB10" i="7"/>
  <c r="AB9" i="7"/>
  <c r="AB8" i="7"/>
  <c r="AC92" i="6"/>
  <c r="AC89" i="6"/>
  <c r="AC85" i="6"/>
  <c r="AC76" i="6"/>
  <c r="AC59" i="6"/>
  <c r="AC63" i="6"/>
  <c r="AC67" i="6"/>
  <c r="AC56" i="6"/>
  <c r="AC46" i="6"/>
  <c r="AC37" i="6"/>
  <c r="AC41" i="6"/>
  <c r="AC27" i="6"/>
  <c r="AC20" i="6"/>
  <c r="AC17" i="6"/>
  <c r="AC9" i="6"/>
  <c r="AC13" i="6"/>
  <c r="AB102" i="6"/>
  <c r="AB99" i="6"/>
  <c r="AB96" i="6"/>
  <c r="AB95" i="6"/>
  <c r="AB92" i="6"/>
  <c r="AB89" i="6"/>
  <c r="AB85" i="6"/>
  <c r="AB84" i="6"/>
  <c r="AC84" i="6" s="1"/>
  <c r="AB83" i="6"/>
  <c r="AC83" i="6" s="1"/>
  <c r="AB82" i="6"/>
  <c r="AC82" i="6" s="1"/>
  <c r="AB81" i="6"/>
  <c r="AC81" i="6" s="1"/>
  <c r="AB77" i="6"/>
  <c r="AC77" i="6" s="1"/>
  <c r="AB76" i="6"/>
  <c r="AB75" i="6"/>
  <c r="AC75" i="6" s="1"/>
  <c r="AB74" i="6"/>
  <c r="AC74" i="6" s="1"/>
  <c r="AB70" i="6"/>
  <c r="AC70" i="6" s="1"/>
  <c r="AB69" i="6"/>
  <c r="AC69" i="6" s="1"/>
  <c r="AB68" i="6"/>
  <c r="AC68" i="6" s="1"/>
  <c r="AB67" i="6"/>
  <c r="AB66" i="6"/>
  <c r="AC66" i="6" s="1"/>
  <c r="AB65" i="6"/>
  <c r="AC65" i="6" s="1"/>
  <c r="AB64" i="6"/>
  <c r="AC64" i="6" s="1"/>
  <c r="AB63" i="6"/>
  <c r="AB62" i="6"/>
  <c r="AC62" i="6" s="1"/>
  <c r="AB61" i="6"/>
  <c r="AC61" i="6" s="1"/>
  <c r="AB60" i="6"/>
  <c r="AC60" i="6" s="1"/>
  <c r="AB59" i="6"/>
  <c r="AB58" i="6"/>
  <c r="AC58" i="6" s="1"/>
  <c r="AB57" i="6"/>
  <c r="AC57" i="6" s="1"/>
  <c r="AB56" i="6"/>
  <c r="AB53" i="6"/>
  <c r="AC53" i="6" s="1"/>
  <c r="AB50" i="6"/>
  <c r="AC50" i="6" s="1"/>
  <c r="AB46" i="6"/>
  <c r="AB41" i="6"/>
  <c r="AB40" i="6"/>
  <c r="AC40" i="6" s="1"/>
  <c r="AB39" i="6"/>
  <c r="AC39" i="6" s="1"/>
  <c r="AB38" i="6"/>
  <c r="AC38" i="6" s="1"/>
  <c r="AB37" i="6"/>
  <c r="AB36" i="6"/>
  <c r="AC36" i="6" s="1"/>
  <c r="AB32" i="6"/>
  <c r="AB30" i="6"/>
  <c r="AB27" i="6"/>
  <c r="AB26" i="6"/>
  <c r="AB22" i="6"/>
  <c r="AC22" i="6" s="1"/>
  <c r="AB21" i="6"/>
  <c r="AC21" i="6" s="1"/>
  <c r="AB20" i="6"/>
  <c r="AB19" i="6"/>
  <c r="AC19" i="6" s="1"/>
  <c r="AB18" i="6"/>
  <c r="AC18" i="6" s="1"/>
  <c r="AB17" i="6"/>
  <c r="AB13" i="6"/>
  <c r="AB12" i="6"/>
  <c r="AC12" i="6" s="1"/>
  <c r="AD12" i="6" s="1"/>
  <c r="AB11" i="6"/>
  <c r="AC11" i="6" s="1"/>
  <c r="AB10" i="6"/>
  <c r="AC10" i="6" s="1"/>
  <c r="AB9" i="6"/>
  <c r="AB8" i="6"/>
  <c r="AC111" i="5"/>
  <c r="AC101" i="5"/>
  <c r="AC91" i="5"/>
  <c r="AC88" i="5"/>
  <c r="AC80" i="5"/>
  <c r="AC81" i="5"/>
  <c r="AC84" i="5"/>
  <c r="AC77" i="5"/>
  <c r="AC60" i="5"/>
  <c r="AC64" i="5"/>
  <c r="AC68" i="5"/>
  <c r="AC72" i="5"/>
  <c r="AC50" i="5"/>
  <c r="AC37" i="5"/>
  <c r="AC35" i="5"/>
  <c r="AC25" i="5"/>
  <c r="AB111" i="5"/>
  <c r="AB108" i="5"/>
  <c r="AC108" i="5" s="1"/>
  <c r="AB105" i="5"/>
  <c r="AC105" i="5" s="1"/>
  <c r="AB104" i="5"/>
  <c r="AC104" i="5" s="1"/>
  <c r="AB101" i="5"/>
  <c r="AB98" i="5"/>
  <c r="AC98" i="5" s="1"/>
  <c r="AB94" i="5"/>
  <c r="AC94" i="5" s="1"/>
  <c r="AB93" i="5"/>
  <c r="AC93" i="5" s="1"/>
  <c r="AB92" i="5"/>
  <c r="AC92" i="5" s="1"/>
  <c r="AB91" i="5"/>
  <c r="AB90" i="5"/>
  <c r="AC90" i="5" s="1"/>
  <c r="AB89" i="5"/>
  <c r="AC89" i="5" s="1"/>
  <c r="AB88" i="5"/>
  <c r="AB84" i="5"/>
  <c r="AB83" i="5"/>
  <c r="AC83" i="5" s="1"/>
  <c r="AB82" i="5"/>
  <c r="AC82" i="5" s="1"/>
  <c r="AB81" i="5"/>
  <c r="AB80" i="5"/>
  <c r="AB79" i="5"/>
  <c r="AC79" i="5" s="1"/>
  <c r="AB78" i="5"/>
  <c r="AC78" i="5" s="1"/>
  <c r="AB77" i="5"/>
  <c r="AB73" i="5"/>
  <c r="AC73" i="5" s="1"/>
  <c r="AB72" i="5"/>
  <c r="AB71" i="5"/>
  <c r="AC71" i="5" s="1"/>
  <c r="AB70" i="5"/>
  <c r="AC70" i="5" s="1"/>
  <c r="AB69" i="5"/>
  <c r="AC69" i="5" s="1"/>
  <c r="AB68" i="5"/>
  <c r="AB67" i="5"/>
  <c r="AC67" i="5" s="1"/>
  <c r="AB66" i="5"/>
  <c r="AC66" i="5" s="1"/>
  <c r="AB65" i="5"/>
  <c r="AC65" i="5" s="1"/>
  <c r="AB64" i="5"/>
  <c r="AB63" i="5"/>
  <c r="AC63" i="5" s="1"/>
  <c r="AB62" i="5"/>
  <c r="AC62" i="5" s="1"/>
  <c r="AB61" i="5"/>
  <c r="AC61" i="5" s="1"/>
  <c r="AB60" i="5"/>
  <c r="AB59" i="5"/>
  <c r="AC59" i="5" s="1"/>
  <c r="AB58" i="5"/>
  <c r="AC58" i="5" s="1"/>
  <c r="AB57" i="5"/>
  <c r="AC57" i="5" s="1"/>
  <c r="AB56" i="5"/>
  <c r="AC56" i="5" s="1"/>
  <c r="AB53" i="5"/>
  <c r="AC53" i="5" s="1"/>
  <c r="AB50" i="5"/>
  <c r="AB49" i="5"/>
  <c r="AC49" i="5" s="1"/>
  <c r="AB45" i="5"/>
  <c r="AC45" i="5" s="1"/>
  <c r="AB40" i="5"/>
  <c r="AC40" i="5" s="1"/>
  <c r="AB39" i="5"/>
  <c r="AC39" i="5" s="1"/>
  <c r="AB38" i="5"/>
  <c r="AC38" i="5" s="1"/>
  <c r="AB37" i="5"/>
  <c r="AB36" i="5"/>
  <c r="AC36" i="5" s="1"/>
  <c r="AB35" i="5"/>
  <c r="AB31" i="5"/>
  <c r="AC31" i="5" s="1"/>
  <c r="AB29" i="5"/>
  <c r="AC29" i="5" s="1"/>
  <c r="AB26" i="5"/>
  <c r="AC26" i="5" s="1"/>
  <c r="AB25" i="5"/>
  <c r="AB21" i="5"/>
  <c r="AB20" i="5"/>
  <c r="AB19" i="5"/>
  <c r="AB18" i="5"/>
  <c r="AB17" i="5"/>
  <c r="AB16" i="5"/>
  <c r="AB12" i="5"/>
  <c r="AB11" i="5"/>
  <c r="AB10" i="5"/>
  <c r="AB9" i="5"/>
  <c r="AB8" i="5"/>
  <c r="X28" i="6"/>
  <c r="X30" i="6" s="1"/>
  <c r="X32" i="6" s="1"/>
  <c r="Y28" i="6"/>
  <c r="Y30" i="6" s="1"/>
  <c r="Y32" i="6" s="1"/>
  <c r="W28" i="6"/>
  <c r="Z27" i="6"/>
  <c r="Z26" i="6"/>
  <c r="AC26" i="6" s="1"/>
  <c r="Y97" i="6"/>
  <c r="Y99" i="6" s="1"/>
  <c r="Y102" i="6" s="1"/>
  <c r="X97" i="6"/>
  <c r="X99" i="6" s="1"/>
  <c r="X102" i="6" s="1"/>
  <c r="Z96" i="6"/>
  <c r="AC96" i="6" s="1"/>
  <c r="Z95" i="6"/>
  <c r="Z97" i="6" s="1"/>
  <c r="Z99" i="6" s="1"/>
  <c r="Z102" i="6" l="1"/>
  <c r="AC102" i="6" s="1"/>
  <c r="AC99" i="6"/>
  <c r="Y27" i="7"/>
  <c r="Y28" i="7" s="1"/>
  <c r="Y30" i="7" s="1"/>
  <c r="Y32" i="7" s="1"/>
  <c r="U27" i="7"/>
  <c r="U28" i="7" s="1"/>
  <c r="U30" i="7" s="1"/>
  <c r="U32" i="7" s="1"/>
  <c r="AC95" i="6"/>
  <c r="AC102" i="7"/>
  <c r="X107" i="7"/>
  <c r="X110" i="7" s="1"/>
  <c r="Z28" i="6"/>
  <c r="Z30" i="6" s="1"/>
  <c r="W107" i="7"/>
  <c r="W110" i="7" s="1"/>
  <c r="T27" i="7"/>
  <c r="T28" i="7" s="1"/>
  <c r="T30" i="7" s="1"/>
  <c r="T32" i="7" s="1"/>
  <c r="Z105" i="7"/>
  <c r="Z27" i="7" s="1"/>
  <c r="AC27" i="7" s="1"/>
  <c r="V27" i="7"/>
  <c r="V28" i="7" s="1"/>
  <c r="V30" i="7" s="1"/>
  <c r="V32" i="7" s="1"/>
  <c r="Z107" i="7"/>
  <c r="AC84" i="4"/>
  <c r="AC88" i="4"/>
  <c r="AC75" i="4"/>
  <c r="AC56" i="4"/>
  <c r="AC60" i="4"/>
  <c r="AC64" i="4"/>
  <c r="AC68" i="4"/>
  <c r="AB106" i="4"/>
  <c r="AC106" i="4" s="1"/>
  <c r="AB103" i="4"/>
  <c r="AC103" i="4" s="1"/>
  <c r="AB100" i="4"/>
  <c r="AC100" i="4" s="1"/>
  <c r="AB99" i="4"/>
  <c r="AC99" i="4" s="1"/>
  <c r="AB96" i="4"/>
  <c r="AC96" i="4" s="1"/>
  <c r="AB93" i="4"/>
  <c r="AC93" i="4" s="1"/>
  <c r="AB89" i="4"/>
  <c r="AC89" i="4" s="1"/>
  <c r="AB88" i="4"/>
  <c r="AB87" i="4"/>
  <c r="AC87" i="4" s="1"/>
  <c r="AB86" i="4"/>
  <c r="AC86" i="4" s="1"/>
  <c r="AB85" i="4"/>
  <c r="AC85" i="4" s="1"/>
  <c r="AB84" i="4"/>
  <c r="AB83" i="4"/>
  <c r="AC83" i="4" s="1"/>
  <c r="AB82" i="4"/>
  <c r="AC82" i="4" s="1"/>
  <c r="AB81" i="4"/>
  <c r="AC81" i="4" s="1"/>
  <c r="AB77" i="4"/>
  <c r="AC77" i="4" s="1"/>
  <c r="AB76" i="4"/>
  <c r="AC76" i="4" s="1"/>
  <c r="AB75" i="4"/>
  <c r="AB74" i="4"/>
  <c r="AC74" i="4" s="1"/>
  <c r="AB73" i="4"/>
  <c r="AC73" i="4" s="1"/>
  <c r="AB69" i="4"/>
  <c r="AC69" i="4" s="1"/>
  <c r="AB68" i="4"/>
  <c r="AB67" i="4"/>
  <c r="AC67" i="4" s="1"/>
  <c r="AB66" i="4"/>
  <c r="AC66" i="4" s="1"/>
  <c r="AB65" i="4"/>
  <c r="AC65" i="4" s="1"/>
  <c r="AB64" i="4"/>
  <c r="AB63" i="4"/>
  <c r="AC63" i="4" s="1"/>
  <c r="AB62" i="4"/>
  <c r="AC62" i="4" s="1"/>
  <c r="AB61" i="4"/>
  <c r="AC61" i="4" s="1"/>
  <c r="AB60" i="4"/>
  <c r="AB59" i="4"/>
  <c r="AC59" i="4" s="1"/>
  <c r="AB58" i="4"/>
  <c r="AC58" i="4" s="1"/>
  <c r="AB57" i="4"/>
  <c r="AC57" i="4" s="1"/>
  <c r="AB56" i="4"/>
  <c r="AB55" i="4"/>
  <c r="AC55" i="4" s="1"/>
  <c r="AB52" i="4"/>
  <c r="AC52" i="4" s="1"/>
  <c r="AB49" i="4"/>
  <c r="AC49" i="4" s="1"/>
  <c r="AB48" i="4"/>
  <c r="AC48" i="4" s="1"/>
  <c r="AB42" i="4"/>
  <c r="AC42" i="4" s="1"/>
  <c r="AB41" i="4"/>
  <c r="AC41" i="4" s="1"/>
  <c r="AB40" i="4"/>
  <c r="AC40" i="4" s="1"/>
  <c r="AB39" i="4"/>
  <c r="AC39" i="4" s="1"/>
  <c r="AB38" i="4"/>
  <c r="AC38" i="4" s="1"/>
  <c r="AB37" i="4"/>
  <c r="AC37" i="4" s="1"/>
  <c r="AB33" i="4"/>
  <c r="AC33" i="4" s="1"/>
  <c r="AB31" i="4"/>
  <c r="AC31" i="4" s="1"/>
  <c r="AB28" i="4"/>
  <c r="AC28" i="4" s="1"/>
  <c r="AB27" i="4"/>
  <c r="AC27" i="4" s="1"/>
  <c r="AB23" i="4"/>
  <c r="AB22" i="4"/>
  <c r="AB21" i="4"/>
  <c r="AB20" i="4"/>
  <c r="AB19" i="4"/>
  <c r="AB18" i="4"/>
  <c r="AB14" i="4"/>
  <c r="AB13" i="4"/>
  <c r="AB12" i="4"/>
  <c r="AB11" i="4"/>
  <c r="AB10" i="4"/>
  <c r="AB9" i="4"/>
  <c r="AB8" i="4"/>
  <c r="Y33" i="3"/>
  <c r="Y35" i="3" s="1"/>
  <c r="Z31" i="3"/>
  <c r="Z33" i="3" s="1"/>
  <c r="Z35" i="3" s="1"/>
  <c r="AC35" i="3" s="1"/>
  <c r="Y31" i="3"/>
  <c r="Z30" i="3"/>
  <c r="Y112" i="3"/>
  <c r="Y114" i="3" s="1"/>
  <c r="Y117" i="3" s="1"/>
  <c r="Z112" i="3"/>
  <c r="Z114" i="3" s="1"/>
  <c r="Z117" i="3" s="1"/>
  <c r="Z111" i="3"/>
  <c r="AC111" i="3" s="1"/>
  <c r="AC110" i="3"/>
  <c r="AC107" i="3"/>
  <c r="AC91" i="3"/>
  <c r="AC95" i="3"/>
  <c r="AC99" i="3"/>
  <c r="AC80" i="3"/>
  <c r="AC84" i="3"/>
  <c r="AC60" i="3"/>
  <c r="AC64" i="3"/>
  <c r="AC68" i="3"/>
  <c r="AC72" i="3"/>
  <c r="AC57" i="3"/>
  <c r="AC23" i="3"/>
  <c r="AB117" i="3"/>
  <c r="AB111" i="3"/>
  <c r="AB110" i="3"/>
  <c r="AB107" i="3"/>
  <c r="AB104" i="3"/>
  <c r="AC104" i="3" s="1"/>
  <c r="AB100" i="3"/>
  <c r="AC100" i="3" s="1"/>
  <c r="AB99" i="3"/>
  <c r="AB98" i="3"/>
  <c r="AC98" i="3" s="1"/>
  <c r="AB97" i="3"/>
  <c r="AC97" i="3" s="1"/>
  <c r="AB96" i="3"/>
  <c r="AC96" i="3" s="1"/>
  <c r="AB95" i="3"/>
  <c r="AB94" i="3"/>
  <c r="AC94" i="3" s="1"/>
  <c r="AB93" i="3"/>
  <c r="AC93" i="3" s="1"/>
  <c r="AB92" i="3"/>
  <c r="AC92" i="3" s="1"/>
  <c r="AB91" i="3"/>
  <c r="AB90" i="3"/>
  <c r="AC90" i="3" s="1"/>
  <c r="AB89" i="3"/>
  <c r="AC89" i="3" s="1"/>
  <c r="AB85" i="3"/>
  <c r="AC85" i="3" s="1"/>
  <c r="AB84" i="3"/>
  <c r="AB83" i="3"/>
  <c r="AC83" i="3" s="1"/>
  <c r="AB82" i="3"/>
  <c r="AC82" i="3" s="1"/>
  <c r="AB81" i="3"/>
  <c r="AC81" i="3" s="1"/>
  <c r="AB80" i="3"/>
  <c r="AB79" i="3"/>
  <c r="AC79" i="3" s="1"/>
  <c r="AB78" i="3"/>
  <c r="AC78" i="3" s="1"/>
  <c r="AB74" i="3"/>
  <c r="AC74" i="3" s="1"/>
  <c r="AB73" i="3"/>
  <c r="AC73" i="3" s="1"/>
  <c r="AB72" i="3"/>
  <c r="AB71" i="3"/>
  <c r="AC71" i="3" s="1"/>
  <c r="AB70" i="3"/>
  <c r="AC70" i="3" s="1"/>
  <c r="AB69" i="3"/>
  <c r="AC69" i="3" s="1"/>
  <c r="AB68" i="3"/>
  <c r="AB67" i="3"/>
  <c r="AC67" i="3" s="1"/>
  <c r="AB66" i="3"/>
  <c r="AC66" i="3" s="1"/>
  <c r="AB65" i="3"/>
  <c r="AC65" i="3" s="1"/>
  <c r="AB64" i="3"/>
  <c r="AB63" i="3"/>
  <c r="AC63" i="3" s="1"/>
  <c r="AB62" i="3"/>
  <c r="AC62" i="3" s="1"/>
  <c r="AB61" i="3"/>
  <c r="AC61" i="3" s="1"/>
  <c r="AB60" i="3"/>
  <c r="AB59" i="3"/>
  <c r="AC59" i="3" s="1"/>
  <c r="AB58" i="3"/>
  <c r="AC58" i="3" s="1"/>
  <c r="AB57" i="3"/>
  <c r="AB51" i="3"/>
  <c r="AC51" i="3" s="1"/>
  <c r="AB45" i="3"/>
  <c r="AB44" i="3"/>
  <c r="AB43" i="3"/>
  <c r="AB42" i="3"/>
  <c r="AB41" i="3"/>
  <c r="AB40" i="3"/>
  <c r="AB39" i="3"/>
  <c r="AB35" i="3"/>
  <c r="AB33" i="3"/>
  <c r="AB30" i="3"/>
  <c r="AB29" i="3"/>
  <c r="AB25" i="3"/>
  <c r="AC25" i="3" s="1"/>
  <c r="AB24" i="3"/>
  <c r="AC24" i="3" s="1"/>
  <c r="AB23" i="3"/>
  <c r="AB22" i="3"/>
  <c r="AC22" i="3" s="1"/>
  <c r="AB21" i="3"/>
  <c r="AC21" i="3" s="1"/>
  <c r="AB20" i="3"/>
  <c r="AB16" i="3"/>
  <c r="AB15" i="3"/>
  <c r="AB14" i="3"/>
  <c r="AB13" i="3"/>
  <c r="AB12" i="3"/>
  <c r="AB11" i="3"/>
  <c r="AB10" i="3"/>
  <c r="AB9" i="3"/>
  <c r="AB8" i="3"/>
  <c r="AC109" i="2"/>
  <c r="AC99" i="2"/>
  <c r="AC103" i="2"/>
  <c r="AC84" i="2"/>
  <c r="AC88" i="2"/>
  <c r="AC83" i="2"/>
  <c r="AC65" i="2"/>
  <c r="AC69" i="2"/>
  <c r="AC73" i="2"/>
  <c r="AC77" i="2"/>
  <c r="AC58" i="2"/>
  <c r="AC42" i="2"/>
  <c r="AC46" i="2"/>
  <c r="AC31" i="2"/>
  <c r="AD31" i="2" s="1"/>
  <c r="AB123" i="2"/>
  <c r="AC123" i="2" s="1"/>
  <c r="AB120" i="2"/>
  <c r="AC120" i="2" s="1"/>
  <c r="AB117" i="2"/>
  <c r="AC117" i="2" s="1"/>
  <c r="AB116" i="2"/>
  <c r="AC116" i="2" s="1"/>
  <c r="AB110" i="2"/>
  <c r="AC110" i="2" s="1"/>
  <c r="AB109" i="2"/>
  <c r="AB105" i="2"/>
  <c r="AC105" i="2" s="1"/>
  <c r="AB104" i="2"/>
  <c r="AC104" i="2" s="1"/>
  <c r="AB103" i="2"/>
  <c r="AB102" i="2"/>
  <c r="AC102" i="2" s="1"/>
  <c r="AB101" i="2"/>
  <c r="AC101" i="2" s="1"/>
  <c r="AB100" i="2"/>
  <c r="AC100" i="2" s="1"/>
  <c r="AB99" i="2"/>
  <c r="AB98" i="2"/>
  <c r="AC98" i="2" s="1"/>
  <c r="AB97" i="2"/>
  <c r="AC97" i="2" s="1"/>
  <c r="AB96" i="2"/>
  <c r="AC96" i="2" s="1"/>
  <c r="AB95" i="2"/>
  <c r="AC95" i="2" s="1"/>
  <c r="AB91" i="2"/>
  <c r="AC91" i="2" s="1"/>
  <c r="AB90" i="2"/>
  <c r="AC90" i="2" s="1"/>
  <c r="AB89" i="2"/>
  <c r="AC89" i="2" s="1"/>
  <c r="AB88" i="2"/>
  <c r="AB87" i="2"/>
  <c r="AC87" i="2" s="1"/>
  <c r="AB86" i="2"/>
  <c r="AC86" i="2" s="1"/>
  <c r="AB85" i="2"/>
  <c r="AC85" i="2" s="1"/>
  <c r="AB84" i="2"/>
  <c r="AB83" i="2"/>
  <c r="AB79" i="2"/>
  <c r="AC79" i="2" s="1"/>
  <c r="AB78" i="2"/>
  <c r="AC78" i="2" s="1"/>
  <c r="AB77" i="2"/>
  <c r="AB76" i="2"/>
  <c r="AC76" i="2" s="1"/>
  <c r="AB75" i="2"/>
  <c r="AC75" i="2" s="1"/>
  <c r="AB74" i="2"/>
  <c r="AC74" i="2" s="1"/>
  <c r="AB73" i="2"/>
  <c r="AB72" i="2"/>
  <c r="AC72" i="2" s="1"/>
  <c r="AB71" i="2"/>
  <c r="AC71" i="2" s="1"/>
  <c r="AB70" i="2"/>
  <c r="AC70" i="2" s="1"/>
  <c r="AB69" i="2"/>
  <c r="AB68" i="2"/>
  <c r="AC68" i="2" s="1"/>
  <c r="AB67" i="2"/>
  <c r="AC67" i="2" s="1"/>
  <c r="AB66" i="2"/>
  <c r="AC66" i="2" s="1"/>
  <c r="AB65" i="2"/>
  <c r="AB64" i="2"/>
  <c r="AC64" i="2" s="1"/>
  <c r="AB63" i="2"/>
  <c r="AC63" i="2" s="1"/>
  <c r="AB62" i="2"/>
  <c r="AC62" i="2" s="1"/>
  <c r="AB61" i="2"/>
  <c r="AC61" i="2" s="1"/>
  <c r="AB58" i="2"/>
  <c r="AB55" i="2"/>
  <c r="AC55" i="2" s="1"/>
  <c r="AB51" i="2"/>
  <c r="AC51" i="2" s="1"/>
  <c r="AB46" i="2"/>
  <c r="AB45" i="2"/>
  <c r="AC45" i="2" s="1"/>
  <c r="AB44" i="2"/>
  <c r="AC44" i="2" s="1"/>
  <c r="AB43" i="2"/>
  <c r="AC43" i="2" s="1"/>
  <c r="AB42" i="2"/>
  <c r="AB41" i="2"/>
  <c r="AC41" i="2" s="1"/>
  <c r="AB40" i="2"/>
  <c r="AC40" i="2" s="1"/>
  <c r="AB36" i="2"/>
  <c r="AC36" i="2" s="1"/>
  <c r="AB34" i="2"/>
  <c r="AC34" i="2" s="1"/>
  <c r="AB31" i="2"/>
  <c r="AB30" i="2"/>
  <c r="AC30" i="2" s="1"/>
  <c r="AB26" i="2"/>
  <c r="AB25" i="2"/>
  <c r="AB24" i="2"/>
  <c r="AB23" i="2"/>
  <c r="AB22" i="2"/>
  <c r="AB21" i="2"/>
  <c r="AB17" i="2"/>
  <c r="AB16" i="2"/>
  <c r="AB15" i="2"/>
  <c r="AB14" i="2"/>
  <c r="AB13" i="2"/>
  <c r="AB12" i="2"/>
  <c r="AB11" i="2"/>
  <c r="AB10" i="2"/>
  <c r="AB9" i="2"/>
  <c r="AB8" i="2"/>
  <c r="AC125" i="1"/>
  <c r="AC114" i="1"/>
  <c r="AC118" i="1"/>
  <c r="AC110" i="1"/>
  <c r="AC101" i="1"/>
  <c r="AC105" i="1"/>
  <c r="AC71" i="1"/>
  <c r="AD71" i="1" s="1"/>
  <c r="AC76" i="1"/>
  <c r="AD76" i="1" s="1"/>
  <c r="AC79" i="1"/>
  <c r="AD79" i="1" s="1"/>
  <c r="AC84" i="1"/>
  <c r="AD84" i="1" s="1"/>
  <c r="AC87" i="1"/>
  <c r="AD87" i="1" s="1"/>
  <c r="AC92" i="1"/>
  <c r="AD92" i="1" s="1"/>
  <c r="AC66" i="1"/>
  <c r="AC48" i="1"/>
  <c r="AD48" i="1" s="1"/>
  <c r="AC53" i="1"/>
  <c r="AD53" i="1" s="1"/>
  <c r="AB150" i="1"/>
  <c r="AB147" i="1"/>
  <c r="AB144" i="1"/>
  <c r="AB143" i="1"/>
  <c r="AB142" i="1"/>
  <c r="AB141" i="1"/>
  <c r="AB140" i="1"/>
  <c r="AB139" i="1"/>
  <c r="AB138" i="1"/>
  <c r="AB137" i="1"/>
  <c r="AB136" i="1"/>
  <c r="AB135" i="1"/>
  <c r="AB134" i="1"/>
  <c r="AB133" i="1"/>
  <c r="AB132" i="1"/>
  <c r="AB129" i="1"/>
  <c r="AC129" i="1" s="1"/>
  <c r="AB126" i="1"/>
  <c r="AC126" i="1" s="1"/>
  <c r="AB125" i="1"/>
  <c r="AB121" i="1"/>
  <c r="AC121" i="1" s="1"/>
  <c r="AB120" i="1"/>
  <c r="AC120" i="1" s="1"/>
  <c r="AB119" i="1"/>
  <c r="AC119" i="1" s="1"/>
  <c r="AB118" i="1"/>
  <c r="AB117" i="1"/>
  <c r="AC117" i="1" s="1"/>
  <c r="AB116" i="1"/>
  <c r="AC116" i="1" s="1"/>
  <c r="AB115" i="1"/>
  <c r="AC115" i="1" s="1"/>
  <c r="AB114" i="1"/>
  <c r="AB113" i="1"/>
  <c r="AC113" i="1" s="1"/>
  <c r="AB112" i="1"/>
  <c r="AC112" i="1" s="1"/>
  <c r="AB111" i="1"/>
  <c r="AC111" i="1" s="1"/>
  <c r="AB110" i="1"/>
  <c r="AB106" i="1"/>
  <c r="AC106" i="1" s="1"/>
  <c r="AB105" i="1"/>
  <c r="AB104" i="1"/>
  <c r="AC104" i="1" s="1"/>
  <c r="AB103" i="1"/>
  <c r="AC103" i="1" s="1"/>
  <c r="AB102" i="1"/>
  <c r="AC102" i="1" s="1"/>
  <c r="AB101" i="1"/>
  <c r="AB100" i="1"/>
  <c r="AC100" i="1" s="1"/>
  <c r="AB99" i="1"/>
  <c r="AC99" i="1" s="1"/>
  <c r="AB98" i="1"/>
  <c r="AC98" i="1" s="1"/>
  <c r="AB97" i="1"/>
  <c r="AC97" i="1" s="1"/>
  <c r="AB93" i="1"/>
  <c r="AC93" i="1" s="1"/>
  <c r="AD93" i="1" s="1"/>
  <c r="AB92" i="1"/>
  <c r="AB91" i="1"/>
  <c r="AC91" i="1" s="1"/>
  <c r="AD91" i="1" s="1"/>
  <c r="AB90" i="1"/>
  <c r="AC90" i="1" s="1"/>
  <c r="AD90" i="1" s="1"/>
  <c r="AB89" i="1"/>
  <c r="AC89" i="1" s="1"/>
  <c r="AD89" i="1" s="1"/>
  <c r="AB88" i="1"/>
  <c r="AC88" i="1" s="1"/>
  <c r="AD88" i="1" s="1"/>
  <c r="AB87" i="1"/>
  <c r="AB86" i="1"/>
  <c r="AC86" i="1" s="1"/>
  <c r="AD86" i="1" s="1"/>
  <c r="AB85" i="1"/>
  <c r="AC85" i="1" s="1"/>
  <c r="AD85" i="1" s="1"/>
  <c r="AB84" i="1"/>
  <c r="AB83" i="1"/>
  <c r="AC83" i="1" s="1"/>
  <c r="AD83" i="1" s="1"/>
  <c r="AB82" i="1"/>
  <c r="AC82" i="1" s="1"/>
  <c r="AD82" i="1" s="1"/>
  <c r="AB81" i="1"/>
  <c r="AC81" i="1" s="1"/>
  <c r="AD81" i="1" s="1"/>
  <c r="AB80" i="1"/>
  <c r="AC80" i="1" s="1"/>
  <c r="AD80" i="1" s="1"/>
  <c r="AB79" i="1"/>
  <c r="AB78" i="1"/>
  <c r="AC78" i="1" s="1"/>
  <c r="AD78" i="1" s="1"/>
  <c r="AB77" i="1"/>
  <c r="AC77" i="1" s="1"/>
  <c r="AD77" i="1" s="1"/>
  <c r="AB76" i="1"/>
  <c r="AB75" i="1"/>
  <c r="AC75" i="1" s="1"/>
  <c r="AD75" i="1" s="1"/>
  <c r="AB74" i="1"/>
  <c r="AC74" i="1" s="1"/>
  <c r="AD74" i="1" s="1"/>
  <c r="AB73" i="1"/>
  <c r="AC73" i="1" s="1"/>
  <c r="AD73" i="1" s="1"/>
  <c r="AB72" i="1"/>
  <c r="AC72" i="1" s="1"/>
  <c r="AD72" i="1" s="1"/>
  <c r="AB71" i="1"/>
  <c r="AB70" i="1"/>
  <c r="AC70" i="1" s="1"/>
  <c r="AD70" i="1" s="1"/>
  <c r="AB69" i="1"/>
  <c r="AC69" i="1" s="1"/>
  <c r="AB66" i="1"/>
  <c r="AB63" i="1"/>
  <c r="AC63" i="1" s="1"/>
  <c r="AB62" i="1"/>
  <c r="AC62" i="1" s="1"/>
  <c r="AB58" i="1"/>
  <c r="AC58" i="1" s="1"/>
  <c r="AB53" i="1"/>
  <c r="AB52" i="1"/>
  <c r="AC52" i="1" s="1"/>
  <c r="AD52" i="1" s="1"/>
  <c r="AB51" i="1"/>
  <c r="AC51" i="1" s="1"/>
  <c r="AD51" i="1" s="1"/>
  <c r="AB50" i="1"/>
  <c r="AC50" i="1" s="1"/>
  <c r="AD50" i="1" s="1"/>
  <c r="AB49" i="1"/>
  <c r="AC49" i="1" s="1"/>
  <c r="AD49" i="1" s="1"/>
  <c r="AB48" i="1"/>
  <c r="AB47" i="1"/>
  <c r="AC47" i="1" s="1"/>
  <c r="AB43" i="1"/>
  <c r="AB41" i="1"/>
  <c r="AC41" i="1" s="1"/>
  <c r="AB38" i="1"/>
  <c r="AB37" i="1"/>
  <c r="AB36" i="1"/>
  <c r="AB32" i="1"/>
  <c r="AB31" i="1"/>
  <c r="AB30" i="1"/>
  <c r="AB29" i="1"/>
  <c r="AB28" i="1"/>
  <c r="AB27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Z32" i="6" l="1"/>
  <c r="AC32" i="6" s="1"/>
  <c r="AC30" i="6"/>
  <c r="Z28" i="7"/>
  <c r="Z30" i="7" s="1"/>
  <c r="AC30" i="7" s="1"/>
  <c r="Z32" i="7"/>
  <c r="AC32" i="7" s="1"/>
  <c r="Z110" i="7"/>
  <c r="AC110" i="7" s="1"/>
  <c r="AC107" i="7"/>
  <c r="U36" i="1"/>
  <c r="U39" i="1" s="1"/>
  <c r="U41" i="1" s="1"/>
  <c r="U43" i="1" s="1"/>
  <c r="V36" i="1"/>
  <c r="W36" i="1"/>
  <c r="X36" i="1"/>
  <c r="Y36" i="1"/>
  <c r="Y39" i="1" s="1"/>
  <c r="Y41" i="1" s="1"/>
  <c r="Y43" i="1" s="1"/>
  <c r="U37" i="1"/>
  <c r="W37" i="1"/>
  <c r="Y37" i="1"/>
  <c r="U38" i="1"/>
  <c r="V38" i="1"/>
  <c r="W38" i="1"/>
  <c r="W39" i="1" s="1"/>
  <c r="W41" i="1" s="1"/>
  <c r="W43" i="1" s="1"/>
  <c r="X38" i="1"/>
  <c r="Y38" i="1"/>
  <c r="T38" i="1"/>
  <c r="Z38" i="1" s="1"/>
  <c r="AC38" i="1" s="1"/>
  <c r="AD38" i="1" s="1"/>
  <c r="T37" i="1"/>
  <c r="T36" i="1"/>
  <c r="W150" i="1"/>
  <c r="W147" i="1"/>
  <c r="X143" i="1"/>
  <c r="X145" i="1" s="1"/>
  <c r="X147" i="1" s="1"/>
  <c r="X150" i="1" s="1"/>
  <c r="W143" i="1"/>
  <c r="V143" i="1"/>
  <c r="V145" i="1" s="1"/>
  <c r="V147" i="1" s="1"/>
  <c r="V150" i="1" s="1"/>
  <c r="T143" i="1"/>
  <c r="U145" i="1"/>
  <c r="U147" i="1" s="1"/>
  <c r="U150" i="1" s="1"/>
  <c r="W145" i="1"/>
  <c r="Y145" i="1"/>
  <c r="Y147" i="1" s="1"/>
  <c r="Y150" i="1" s="1"/>
  <c r="Z133" i="1"/>
  <c r="AC133" i="1" s="1"/>
  <c r="Z134" i="1"/>
  <c r="AC134" i="1" s="1"/>
  <c r="Z135" i="1"/>
  <c r="AC135" i="1" s="1"/>
  <c r="Z136" i="1"/>
  <c r="AC136" i="1" s="1"/>
  <c r="Z137" i="1"/>
  <c r="AC137" i="1" s="1"/>
  <c r="Z138" i="1"/>
  <c r="AC138" i="1" s="1"/>
  <c r="Z139" i="1"/>
  <c r="AC139" i="1" s="1"/>
  <c r="Z140" i="1"/>
  <c r="AC140" i="1" s="1"/>
  <c r="Z141" i="1"/>
  <c r="AC141" i="1" s="1"/>
  <c r="Z142" i="1"/>
  <c r="AC142" i="1" s="1"/>
  <c r="Z144" i="1"/>
  <c r="AC144" i="1" s="1"/>
  <c r="Z132" i="1"/>
  <c r="AC132" i="1" s="1"/>
  <c r="Z36" i="1" l="1"/>
  <c r="V37" i="1"/>
  <c r="V39" i="1" s="1"/>
  <c r="V41" i="1" s="1"/>
  <c r="V43" i="1" s="1"/>
  <c r="X37" i="1"/>
  <c r="X39" i="1" s="1"/>
  <c r="X41" i="1" s="1"/>
  <c r="X43" i="1" s="1"/>
  <c r="T39" i="1"/>
  <c r="T41" i="1" s="1"/>
  <c r="T43" i="1" s="1"/>
  <c r="Z143" i="1"/>
  <c r="T145" i="1"/>
  <c r="T147" i="1" s="1"/>
  <c r="T150" i="1" s="1"/>
  <c r="Z145" i="1" l="1"/>
  <c r="Z147" i="1" s="1"/>
  <c r="Z150" i="1" s="1"/>
  <c r="AC143" i="1"/>
  <c r="AC36" i="1"/>
  <c r="Z39" i="1"/>
  <c r="Z41" i="1" s="1"/>
  <c r="Z43" i="1" s="1"/>
  <c r="AC43" i="1" s="1"/>
  <c r="Z37" i="1"/>
  <c r="AC37" i="1" s="1"/>
  <c r="AD37" i="1" s="1"/>
  <c r="G40" i="9"/>
  <c r="G37" i="9"/>
  <c r="G36" i="9"/>
  <c r="G39" i="9" s="1"/>
  <c r="G63" i="9"/>
  <c r="AC117" i="3" l="1"/>
  <c r="AC45" i="3"/>
  <c r="AC44" i="3"/>
  <c r="AC43" i="3"/>
  <c r="AC42" i="3"/>
  <c r="AC41" i="3"/>
  <c r="AC40" i="3"/>
  <c r="AC39" i="3"/>
  <c r="AC150" i="1"/>
  <c r="AC147" i="1"/>
  <c r="AD133" i="1"/>
  <c r="AD134" i="1"/>
  <c r="AD135" i="1"/>
  <c r="AD136" i="1"/>
  <c r="AD137" i="1"/>
  <c r="AD139" i="1"/>
  <c r="AD140" i="1"/>
  <c r="AD141" i="1"/>
  <c r="AD142" i="1"/>
  <c r="AD144" i="1"/>
  <c r="AD126" i="1"/>
  <c r="AD111" i="1"/>
  <c r="AD112" i="1"/>
  <c r="AD113" i="1"/>
  <c r="AD114" i="1"/>
  <c r="AD115" i="1"/>
  <c r="AD116" i="1"/>
  <c r="AD117" i="1"/>
  <c r="AD118" i="1"/>
  <c r="AD119" i="1"/>
  <c r="AD120" i="1"/>
  <c r="AD121" i="1"/>
  <c r="AD98" i="1"/>
  <c r="AD99" i="1"/>
  <c r="AD100" i="1"/>
  <c r="AD101" i="1"/>
  <c r="AD102" i="1"/>
  <c r="AD103" i="1"/>
  <c r="AD104" i="1"/>
  <c r="AD105" i="1"/>
  <c r="AD106" i="1"/>
  <c r="AD143" i="1"/>
  <c r="AC28" i="1"/>
  <c r="AD28" i="1" s="1"/>
  <c r="AC29" i="1"/>
  <c r="AD29" i="1" s="1"/>
  <c r="AC30" i="1"/>
  <c r="AD30" i="1" s="1"/>
  <c r="AC31" i="1"/>
  <c r="AD31" i="1" s="1"/>
  <c r="AC32" i="1"/>
  <c r="AD32" i="1" s="1"/>
  <c r="AC9" i="1"/>
  <c r="AD9" i="1" s="1"/>
  <c r="AC10" i="1"/>
  <c r="AD10" i="1" s="1"/>
  <c r="AC11" i="1"/>
  <c r="AD11" i="1" s="1"/>
  <c r="AC12" i="1"/>
  <c r="AD12" i="1" s="1"/>
  <c r="AC13" i="1"/>
  <c r="AD13" i="1" s="1"/>
  <c r="AC14" i="1"/>
  <c r="AD14" i="1" s="1"/>
  <c r="AC15" i="1"/>
  <c r="AD15" i="1" s="1"/>
  <c r="AC16" i="1"/>
  <c r="AD16" i="1" s="1"/>
  <c r="AC17" i="1"/>
  <c r="AD17" i="1" s="1"/>
  <c r="AC18" i="1"/>
  <c r="AD18" i="1" s="1"/>
  <c r="AC19" i="1"/>
  <c r="AD19" i="1" s="1"/>
  <c r="AC20" i="1"/>
  <c r="AD20" i="1" s="1"/>
  <c r="AC21" i="1"/>
  <c r="AD21" i="1" s="1"/>
  <c r="AC22" i="1"/>
  <c r="AD22" i="1" s="1"/>
  <c r="AC23" i="1"/>
  <c r="AD23" i="1" s="1"/>
  <c r="G108" i="9"/>
  <c r="G81" i="9"/>
  <c r="G21" i="9" s="1"/>
  <c r="G43" i="9"/>
  <c r="G19" i="9" s="1"/>
  <c r="G27" i="9"/>
  <c r="G28" i="9" s="1"/>
  <c r="G20" i="9"/>
  <c r="G22" i="9"/>
  <c r="G23" i="9"/>
  <c r="G16" i="9"/>
  <c r="AD138" i="1" l="1"/>
  <c r="G99" i="9"/>
  <c r="G110" i="9" s="1"/>
  <c r="G113" i="9" s="1"/>
  <c r="G24" i="9"/>
  <c r="G30" i="9" s="1"/>
  <c r="G32" i="9" s="1"/>
  <c r="F40" i="9" l="1"/>
  <c r="F37" i="9"/>
  <c r="F36" i="9"/>
  <c r="F39" i="9" s="1"/>
  <c r="F72" i="9"/>
  <c r="F27" i="9"/>
  <c r="F20" i="9"/>
  <c r="F22" i="9"/>
  <c r="F23" i="9"/>
  <c r="F108" i="9" l="1"/>
  <c r="F81" i="9"/>
  <c r="F21" i="9" s="1"/>
  <c r="F43" i="9"/>
  <c r="F19" i="9" s="1"/>
  <c r="F24" i="9" s="1"/>
  <c r="F28" i="9"/>
  <c r="F16" i="9"/>
  <c r="AC21" i="5"/>
  <c r="AC20" i="5"/>
  <c r="AC19" i="5"/>
  <c r="AC18" i="5"/>
  <c r="AC17" i="5"/>
  <c r="AC16" i="5"/>
  <c r="AC12" i="5"/>
  <c r="AC11" i="5"/>
  <c r="AC10" i="5"/>
  <c r="AC30" i="3"/>
  <c r="AC9" i="3"/>
  <c r="AC10" i="3"/>
  <c r="AC11" i="3"/>
  <c r="AC12" i="3"/>
  <c r="AC13" i="3"/>
  <c r="AC14" i="3"/>
  <c r="AC15" i="3"/>
  <c r="AC16" i="3"/>
  <c r="AC22" i="2"/>
  <c r="AC23" i="2"/>
  <c r="AC24" i="2"/>
  <c r="AC25" i="2"/>
  <c r="AC26" i="2"/>
  <c r="AC9" i="2"/>
  <c r="AC10" i="2"/>
  <c r="AC11" i="2"/>
  <c r="AC12" i="2"/>
  <c r="AC13" i="2"/>
  <c r="AC14" i="2"/>
  <c r="AC15" i="2"/>
  <c r="AC16" i="2"/>
  <c r="AC17" i="2"/>
  <c r="F30" i="9" l="1"/>
  <c r="F99" i="9"/>
  <c r="F110" i="9" s="1"/>
  <c r="F113" i="9" s="1"/>
  <c r="F32" i="9"/>
  <c r="AD78" i="8" l="1"/>
  <c r="AD79" i="8"/>
  <c r="AD80" i="8"/>
  <c r="AD81" i="8"/>
  <c r="AD63" i="8"/>
  <c r="AD64" i="8"/>
  <c r="AD65" i="8"/>
  <c r="AD66" i="8"/>
  <c r="AD67" i="8"/>
  <c r="AD58" i="8"/>
  <c r="AD46" i="8"/>
  <c r="AD47" i="8"/>
  <c r="AD48" i="8"/>
  <c r="AD49" i="8"/>
  <c r="AD50" i="8"/>
  <c r="AD51" i="8"/>
  <c r="AD52" i="8"/>
  <c r="AD53" i="8"/>
  <c r="AD35" i="8"/>
  <c r="AD36" i="8"/>
  <c r="AD37" i="8"/>
  <c r="AD38" i="8"/>
  <c r="AD39" i="8"/>
  <c r="AC18" i="8"/>
  <c r="AD18" i="8" s="1"/>
  <c r="AC19" i="8"/>
  <c r="AD19" i="8" s="1"/>
  <c r="AC20" i="8"/>
  <c r="AD20" i="8" s="1"/>
  <c r="AC21" i="8"/>
  <c r="AD21" i="8" s="1"/>
  <c r="AC9" i="8"/>
  <c r="AD9" i="8" s="1"/>
  <c r="AC10" i="8"/>
  <c r="AD10" i="8" s="1"/>
  <c r="AC11" i="8"/>
  <c r="AD11" i="8" s="1"/>
  <c r="AC12" i="8"/>
  <c r="AD12" i="8" s="1"/>
  <c r="AC13" i="8"/>
  <c r="AD13" i="8" s="1"/>
  <c r="AD100" i="7"/>
  <c r="AD101" i="7"/>
  <c r="AD103" i="7"/>
  <c r="AD104" i="7"/>
  <c r="AD91" i="7"/>
  <c r="AD92" i="7"/>
  <c r="AD84" i="7"/>
  <c r="AD86" i="7"/>
  <c r="AD59" i="7"/>
  <c r="AD60" i="7"/>
  <c r="AD61" i="7"/>
  <c r="AD62" i="7"/>
  <c r="AD63" i="7"/>
  <c r="AD64" i="7"/>
  <c r="AD65" i="7"/>
  <c r="AD66" i="7"/>
  <c r="AD67" i="7"/>
  <c r="AD68" i="7"/>
  <c r="AD69" i="7"/>
  <c r="AD70" i="7"/>
  <c r="AD71" i="7"/>
  <c r="AD72" i="7"/>
  <c r="AD73" i="7"/>
  <c r="AD74" i="7"/>
  <c r="AD75" i="7"/>
  <c r="AD76" i="7"/>
  <c r="AD77" i="7"/>
  <c r="AD78" i="7"/>
  <c r="AD79" i="7"/>
  <c r="AD52" i="7"/>
  <c r="AD37" i="7"/>
  <c r="AD38" i="7"/>
  <c r="AD39" i="7"/>
  <c r="AD40" i="7"/>
  <c r="AD41" i="7"/>
  <c r="AD42" i="7"/>
  <c r="AC20" i="7"/>
  <c r="AD20" i="7" s="1"/>
  <c r="AC21" i="7"/>
  <c r="AD21" i="7" s="1"/>
  <c r="AC22" i="7"/>
  <c r="AD22" i="7" s="1"/>
  <c r="AC23" i="7"/>
  <c r="AD23" i="7" s="1"/>
  <c r="AC9" i="7"/>
  <c r="AD9" i="7" s="1"/>
  <c r="AC10" i="7"/>
  <c r="AD10" i="7" s="1"/>
  <c r="AC11" i="7"/>
  <c r="AD11" i="7" s="1"/>
  <c r="AC12" i="7"/>
  <c r="AD12" i="7" s="1"/>
  <c r="AC13" i="7"/>
  <c r="AD13" i="7" s="1"/>
  <c r="AC14" i="7"/>
  <c r="AD14" i="7" s="1"/>
  <c r="AC15" i="7"/>
  <c r="AD15" i="7" s="1"/>
  <c r="AD96" i="6"/>
  <c r="AD82" i="6"/>
  <c r="AD83" i="6"/>
  <c r="AD84" i="6"/>
  <c r="AD85" i="6"/>
  <c r="AD75" i="6"/>
  <c r="AD76" i="6"/>
  <c r="AD77" i="6"/>
  <c r="AD57" i="6"/>
  <c r="AD58" i="6"/>
  <c r="AD59" i="6"/>
  <c r="AD60" i="6"/>
  <c r="AD61" i="6"/>
  <c r="AD62" i="6"/>
  <c r="AD63" i="6"/>
  <c r="AD64" i="6"/>
  <c r="AD65" i="6"/>
  <c r="AD66" i="6"/>
  <c r="AD67" i="6"/>
  <c r="AD68" i="6"/>
  <c r="AD69" i="6"/>
  <c r="AD70" i="6"/>
  <c r="AD37" i="6"/>
  <c r="AD38" i="6"/>
  <c r="AD39" i="6"/>
  <c r="AD40" i="6"/>
  <c r="AD41" i="6"/>
  <c r="AD27" i="6"/>
  <c r="AD18" i="6"/>
  <c r="AD19" i="6"/>
  <c r="AD20" i="6"/>
  <c r="AD21" i="6"/>
  <c r="AD22" i="6"/>
  <c r="AD9" i="6"/>
  <c r="AD10" i="6"/>
  <c r="AD11" i="6"/>
  <c r="AD13" i="6"/>
  <c r="AD105" i="5"/>
  <c r="AD89" i="5"/>
  <c r="AD90" i="5"/>
  <c r="AD91" i="5"/>
  <c r="AD92" i="5"/>
  <c r="AD93" i="5"/>
  <c r="AD94" i="5"/>
  <c r="AD78" i="5"/>
  <c r="AD79" i="5"/>
  <c r="AD80" i="5"/>
  <c r="AD81" i="5"/>
  <c r="AD82" i="5"/>
  <c r="AD83" i="5"/>
  <c r="AD84" i="5"/>
  <c r="AD57" i="5"/>
  <c r="AD58" i="5"/>
  <c r="AD59" i="5"/>
  <c r="AD60" i="5"/>
  <c r="AD61" i="5"/>
  <c r="AD62" i="5"/>
  <c r="AD63" i="5"/>
  <c r="AD64" i="5"/>
  <c r="AD65" i="5"/>
  <c r="AD66" i="5"/>
  <c r="AD67" i="5"/>
  <c r="AD68" i="5"/>
  <c r="AD69" i="5"/>
  <c r="AD70" i="5"/>
  <c r="AD71" i="5"/>
  <c r="AD72" i="5"/>
  <c r="AD73" i="5"/>
  <c r="AD50" i="5"/>
  <c r="AD36" i="5"/>
  <c r="AD37" i="5"/>
  <c r="AD38" i="5"/>
  <c r="AD39" i="5"/>
  <c r="AD40" i="5"/>
  <c r="AD26" i="5"/>
  <c r="AD17" i="5"/>
  <c r="AD18" i="5"/>
  <c r="AD19" i="5"/>
  <c r="AD20" i="5"/>
  <c r="AD21" i="5"/>
  <c r="AC9" i="5"/>
  <c r="AD9" i="5" s="1"/>
  <c r="AD10" i="5"/>
  <c r="AD11" i="5"/>
  <c r="AD12" i="5"/>
  <c r="AD100" i="4"/>
  <c r="AD82" i="4"/>
  <c r="AD83" i="4"/>
  <c r="AD84" i="4"/>
  <c r="AD85" i="4"/>
  <c r="AD86" i="4"/>
  <c r="AD87" i="4"/>
  <c r="AD88" i="4"/>
  <c r="AD89" i="4"/>
  <c r="AD74" i="4"/>
  <c r="AD75" i="4"/>
  <c r="AD76" i="4"/>
  <c r="AD77" i="4"/>
  <c r="AD56" i="4"/>
  <c r="AD57" i="4"/>
  <c r="AD58" i="4"/>
  <c r="AD59" i="4"/>
  <c r="AD60" i="4"/>
  <c r="AD61" i="4"/>
  <c r="AD62" i="4"/>
  <c r="AD63" i="4"/>
  <c r="AD64" i="4"/>
  <c r="AD65" i="4"/>
  <c r="AD66" i="4"/>
  <c r="AD67" i="4"/>
  <c r="AD68" i="4"/>
  <c r="AD69" i="4"/>
  <c r="AD49" i="4"/>
  <c r="AD38" i="4"/>
  <c r="AD39" i="4"/>
  <c r="AD40" i="4"/>
  <c r="AD41" i="4"/>
  <c r="AD42" i="4"/>
  <c r="AD28" i="4"/>
  <c r="AC19" i="4"/>
  <c r="AD19" i="4" s="1"/>
  <c r="AC20" i="4"/>
  <c r="AD20" i="4" s="1"/>
  <c r="AC21" i="4"/>
  <c r="AD21" i="4" s="1"/>
  <c r="AC22" i="4"/>
  <c r="AD22" i="4" s="1"/>
  <c r="AC23" i="4"/>
  <c r="AD23" i="4" s="1"/>
  <c r="AC9" i="4"/>
  <c r="AD9" i="4" s="1"/>
  <c r="AC10" i="4"/>
  <c r="AD10" i="4" s="1"/>
  <c r="AC11" i="4"/>
  <c r="AD11" i="4" s="1"/>
  <c r="AC12" i="4"/>
  <c r="AD12" i="4" s="1"/>
  <c r="AC13" i="4"/>
  <c r="AD13" i="4" s="1"/>
  <c r="AC14" i="4"/>
  <c r="AD14" i="4" s="1"/>
  <c r="AB114" i="3"/>
  <c r="AC114" i="3" s="1"/>
  <c r="AD111" i="3"/>
  <c r="AD90" i="3"/>
  <c r="AD91" i="3"/>
  <c r="AD92" i="3"/>
  <c r="AD93" i="3"/>
  <c r="AD94" i="3"/>
  <c r="AD95" i="3"/>
  <c r="AD96" i="3"/>
  <c r="AD97" i="3"/>
  <c r="AD98" i="3"/>
  <c r="AD99" i="3"/>
  <c r="AD100" i="3"/>
  <c r="AD79" i="3"/>
  <c r="AD80" i="3"/>
  <c r="AD81" i="3"/>
  <c r="AD82" i="3"/>
  <c r="AD83" i="3"/>
  <c r="AD84" i="3"/>
  <c r="AD85" i="3"/>
  <c r="AD58" i="3"/>
  <c r="AD59" i="3"/>
  <c r="AD60" i="3"/>
  <c r="AD61" i="3"/>
  <c r="AD62" i="3"/>
  <c r="AD63" i="3"/>
  <c r="AD64" i="3"/>
  <c r="AD65" i="3"/>
  <c r="AD66" i="3"/>
  <c r="AD67" i="3"/>
  <c r="AD68" i="3"/>
  <c r="AD69" i="3"/>
  <c r="AD70" i="3"/>
  <c r="AD71" i="3"/>
  <c r="AD72" i="3"/>
  <c r="AD73" i="3"/>
  <c r="AD74" i="3"/>
  <c r="AB54" i="3"/>
  <c r="AC54" i="3" s="1"/>
  <c r="AD40" i="3"/>
  <c r="AD41" i="3"/>
  <c r="AD42" i="3"/>
  <c r="AD43" i="3"/>
  <c r="AD44" i="3"/>
  <c r="AD45" i="3"/>
  <c r="AD30" i="3"/>
  <c r="AD21" i="3"/>
  <c r="AD22" i="3"/>
  <c r="AD23" i="3"/>
  <c r="AD24" i="3"/>
  <c r="AD25" i="3"/>
  <c r="AD9" i="3"/>
  <c r="AD10" i="3"/>
  <c r="AD11" i="3"/>
  <c r="AD12" i="3"/>
  <c r="AD13" i="3"/>
  <c r="AD14" i="3"/>
  <c r="AD15" i="3"/>
  <c r="AD16" i="3"/>
  <c r="AD117" i="2"/>
  <c r="AD110" i="2"/>
  <c r="AD96" i="2"/>
  <c r="AD97" i="2"/>
  <c r="AD98" i="2"/>
  <c r="AD99" i="2"/>
  <c r="AD100" i="2"/>
  <c r="AD101" i="2"/>
  <c r="AD102" i="2"/>
  <c r="AD103" i="2"/>
  <c r="AD104" i="2"/>
  <c r="AD105" i="2"/>
  <c r="AD84" i="2"/>
  <c r="AD85" i="2"/>
  <c r="AD86" i="2"/>
  <c r="AD87" i="2"/>
  <c r="AD88" i="2"/>
  <c r="AD89" i="2"/>
  <c r="AD90" i="2"/>
  <c r="AD91" i="2"/>
  <c r="AD62" i="2"/>
  <c r="AD63" i="2"/>
  <c r="AD64" i="2"/>
  <c r="AD65" i="2"/>
  <c r="AD66" i="2"/>
  <c r="AD67" i="2"/>
  <c r="AD68" i="2"/>
  <c r="AD69" i="2"/>
  <c r="AD70" i="2"/>
  <c r="AD71" i="2"/>
  <c r="AD72" i="2"/>
  <c r="AD73" i="2"/>
  <c r="AD74" i="2"/>
  <c r="AD75" i="2"/>
  <c r="AD76" i="2"/>
  <c r="AD77" i="2"/>
  <c r="AD78" i="2"/>
  <c r="AD79" i="2"/>
  <c r="AD41" i="2"/>
  <c r="AD42" i="2"/>
  <c r="AD43" i="2"/>
  <c r="AD44" i="2"/>
  <c r="AD45" i="2"/>
  <c r="AD46" i="2"/>
  <c r="AD22" i="2"/>
  <c r="AD23" i="2"/>
  <c r="AD24" i="2"/>
  <c r="AD25" i="2"/>
  <c r="AD26" i="2"/>
  <c r="AD9" i="2"/>
  <c r="AD10" i="2"/>
  <c r="AD11" i="2"/>
  <c r="AD12" i="2"/>
  <c r="AD13" i="2"/>
  <c r="AD14" i="2"/>
  <c r="AD15" i="2"/>
  <c r="AD16" i="2"/>
  <c r="AD17" i="2"/>
  <c r="AD63" i="1"/>
  <c r="AB59" i="1"/>
  <c r="AC59" i="1"/>
  <c r="E108" i="9"/>
  <c r="AD59" i="1" l="1"/>
  <c r="AB78" i="6"/>
  <c r="AC46" i="3"/>
  <c r="E40" i="9"/>
  <c r="E37" i="9"/>
  <c r="E36" i="9"/>
  <c r="E72" i="9"/>
  <c r="E63" i="9"/>
  <c r="E27" i="9"/>
  <c r="E28" i="9" s="1"/>
  <c r="E20" i="9"/>
  <c r="E22" i="9"/>
  <c r="E23" i="9"/>
  <c r="E16" i="9"/>
  <c r="E39" i="9" l="1"/>
  <c r="E43" i="9"/>
  <c r="E81" i="9"/>
  <c r="E21" i="9" s="1"/>
  <c r="E99" i="9" l="1"/>
  <c r="E110" i="9" s="1"/>
  <c r="E113" i="9" s="1"/>
  <c r="E19" i="9"/>
  <c r="E24" i="9" s="1"/>
  <c r="E30" i="9" s="1"/>
  <c r="E32" i="9" s="1"/>
  <c r="AD102" i="7" l="1"/>
  <c r="G145" i="1"/>
  <c r="H145" i="1"/>
  <c r="I145" i="1"/>
  <c r="J145" i="1"/>
  <c r="K145" i="1"/>
  <c r="L145" i="1"/>
  <c r="M145" i="1"/>
  <c r="N145" i="1"/>
  <c r="O145" i="1"/>
  <c r="P145" i="1"/>
  <c r="Q145" i="1"/>
  <c r="R145" i="1"/>
  <c r="F145" i="1"/>
  <c r="G39" i="1"/>
  <c r="H39" i="1"/>
  <c r="I39" i="1"/>
  <c r="J39" i="1"/>
  <c r="K39" i="1"/>
  <c r="L39" i="1"/>
  <c r="M39" i="1"/>
  <c r="N39" i="1"/>
  <c r="O39" i="1"/>
  <c r="P39" i="1"/>
  <c r="Q39" i="1"/>
  <c r="R39" i="1"/>
  <c r="F39" i="1"/>
  <c r="D108" i="9" l="1"/>
  <c r="J103" i="9"/>
  <c r="J104" i="9"/>
  <c r="J105" i="9"/>
  <c r="J106" i="9"/>
  <c r="J107" i="9"/>
  <c r="J102" i="9"/>
  <c r="D96" i="9"/>
  <c r="J92" i="9"/>
  <c r="J93" i="9"/>
  <c r="J94" i="9"/>
  <c r="J95" i="9"/>
  <c r="J91" i="9"/>
  <c r="D88" i="9"/>
  <c r="D22" i="9" s="1"/>
  <c r="J85" i="9"/>
  <c r="J86" i="9"/>
  <c r="J87" i="9"/>
  <c r="J84" i="9"/>
  <c r="D81" i="9"/>
  <c r="D21" i="9" s="1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J74" i="9"/>
  <c r="J75" i="9"/>
  <c r="J76" i="9"/>
  <c r="J77" i="9"/>
  <c r="J78" i="9"/>
  <c r="J79" i="9"/>
  <c r="J80" i="9"/>
  <c r="J59" i="9"/>
  <c r="J53" i="9"/>
  <c r="J52" i="9"/>
  <c r="J48" i="9"/>
  <c r="J47" i="9"/>
  <c r="D54" i="9"/>
  <c r="D56" i="9" s="1"/>
  <c r="D20" i="9" s="1"/>
  <c r="J37" i="9"/>
  <c r="J38" i="9"/>
  <c r="J39" i="9"/>
  <c r="J40" i="9"/>
  <c r="J41" i="9"/>
  <c r="J42" i="9"/>
  <c r="J36" i="9"/>
  <c r="D43" i="9"/>
  <c r="D19" i="9" s="1"/>
  <c r="D27" i="9"/>
  <c r="D28" i="9" s="1"/>
  <c r="D23" i="9"/>
  <c r="J9" i="9"/>
  <c r="J10" i="9"/>
  <c r="J11" i="9"/>
  <c r="J12" i="9"/>
  <c r="J13" i="9"/>
  <c r="J14" i="9"/>
  <c r="J15" i="9"/>
  <c r="J8" i="9"/>
  <c r="D16" i="9"/>
  <c r="D99" i="9" l="1"/>
  <c r="D24" i="9"/>
  <c r="D30" i="9" s="1"/>
  <c r="D32" i="9" s="1"/>
  <c r="D110" i="9" l="1"/>
  <c r="D113" i="9" s="1"/>
  <c r="AC72" i="8" l="1"/>
  <c r="AC26" i="8"/>
  <c r="AC48" i="7"/>
  <c r="AC28" i="7"/>
  <c r="AC90" i="6"/>
  <c r="AC51" i="6"/>
  <c r="AC47" i="6"/>
  <c r="AC99" i="5"/>
  <c r="AC46" i="5"/>
  <c r="AC94" i="4"/>
  <c r="AC50" i="4"/>
  <c r="AC105" i="3"/>
  <c r="AC52" i="3"/>
  <c r="AB113" i="2"/>
  <c r="AC113" i="2" s="1"/>
  <c r="AC56" i="2"/>
  <c r="AC82" i="8" l="1"/>
  <c r="AC40" i="8"/>
  <c r="AC54" i="8"/>
  <c r="AC68" i="8"/>
  <c r="AC59" i="8"/>
  <c r="AB105" i="7"/>
  <c r="AC105" i="7"/>
  <c r="AC43" i="7"/>
  <c r="AC87" i="7"/>
  <c r="AC93" i="7"/>
  <c r="AC53" i="7"/>
  <c r="AC80" i="7"/>
  <c r="AC78" i="6"/>
  <c r="AC23" i="6"/>
  <c r="AC97" i="6"/>
  <c r="AC42" i="6"/>
  <c r="AC71" i="6"/>
  <c r="AC86" i="6"/>
  <c r="AC51" i="5"/>
  <c r="AC41" i="5"/>
  <c r="AC85" i="5"/>
  <c r="AC27" i="5"/>
  <c r="AC74" i="5"/>
  <c r="AC106" i="5"/>
  <c r="AC22" i="5"/>
  <c r="AC95" i="5"/>
  <c r="AC101" i="4"/>
  <c r="AC70" i="4"/>
  <c r="AC29" i="4"/>
  <c r="AC43" i="4"/>
  <c r="AC90" i="4"/>
  <c r="AC78" i="4"/>
  <c r="AC112" i="3"/>
  <c r="AC75" i="3"/>
  <c r="AB31" i="3"/>
  <c r="AC86" i="3"/>
  <c r="AC101" i="3"/>
  <c r="AB106" i="2"/>
  <c r="AC80" i="2"/>
  <c r="AC106" i="2"/>
  <c r="AC92" i="2"/>
  <c r="AB101" i="3"/>
  <c r="AB46" i="3" l="1"/>
  <c r="C108" i="9" l="1"/>
  <c r="C27" i="9"/>
  <c r="C96" i="9"/>
  <c r="C23" i="9" s="1"/>
  <c r="J23" i="9" s="1"/>
  <c r="C88" i="9"/>
  <c r="C22" i="9" s="1"/>
  <c r="J22" i="9" s="1"/>
  <c r="C81" i="9"/>
  <c r="C21" i="9" s="1"/>
  <c r="J21" i="9" s="1"/>
  <c r="J54" i="9"/>
  <c r="C54" i="9"/>
  <c r="C49" i="9"/>
  <c r="J49" i="9" s="1"/>
  <c r="C43" i="9"/>
  <c r="C19" i="9" s="1"/>
  <c r="J19" i="9" s="1"/>
  <c r="C28" i="9"/>
  <c r="C16" i="9"/>
  <c r="J27" i="9" l="1"/>
  <c r="J28" i="9" s="1"/>
  <c r="J96" i="9"/>
  <c r="C56" i="9"/>
  <c r="C20" i="9" s="1"/>
  <c r="J20" i="9" s="1"/>
  <c r="J24" i="9" s="1"/>
  <c r="J56" i="9"/>
  <c r="J88" i="9"/>
  <c r="J108" i="9"/>
  <c r="J81" i="9"/>
  <c r="J43" i="9"/>
  <c r="J16" i="9"/>
  <c r="J30" i="9" l="1"/>
  <c r="J32" i="9" s="1"/>
  <c r="C99" i="9"/>
  <c r="C24" i="9"/>
  <c r="C30" i="9" s="1"/>
  <c r="C32" i="9" s="1"/>
  <c r="C110" i="9" l="1"/>
  <c r="C113" i="9" s="1"/>
  <c r="J99" i="9"/>
  <c r="J110" i="9" s="1"/>
  <c r="J113" i="9" s="1"/>
  <c r="AB82" i="8"/>
  <c r="AD82" i="8" s="1"/>
  <c r="AB72" i="8"/>
  <c r="AB59" i="8"/>
  <c r="AB54" i="8"/>
  <c r="AB26" i="8"/>
  <c r="AB93" i="7"/>
  <c r="AB48" i="7"/>
  <c r="AB28" i="7"/>
  <c r="AB16" i="7"/>
  <c r="AB90" i="6"/>
  <c r="AB51" i="6"/>
  <c r="AB47" i="6"/>
  <c r="AC28" i="6"/>
  <c r="AB99" i="5"/>
  <c r="AB46" i="5"/>
  <c r="AB94" i="4"/>
  <c r="AB105" i="3"/>
  <c r="AB52" i="3"/>
  <c r="AC33" i="3"/>
  <c r="AC29" i="3"/>
  <c r="AB118" i="2"/>
  <c r="AB111" i="2"/>
  <c r="AB56" i="2"/>
  <c r="AB52" i="2"/>
  <c r="AB18" i="2"/>
  <c r="AB94" i="1"/>
  <c r="AB24" i="1"/>
  <c r="AB22" i="8" l="1"/>
  <c r="AB68" i="8"/>
  <c r="AB40" i="8"/>
  <c r="AB14" i="8"/>
  <c r="AB53" i="7"/>
  <c r="AB87" i="7"/>
  <c r="AB43" i="7"/>
  <c r="AB24" i="7"/>
  <c r="AB80" i="7"/>
  <c r="AB86" i="6"/>
  <c r="AB71" i="6"/>
  <c r="AB14" i="6"/>
  <c r="AB42" i="6"/>
  <c r="AB28" i="6"/>
  <c r="AB23" i="6"/>
  <c r="AD23" i="6" s="1"/>
  <c r="AB97" i="6"/>
  <c r="AB51" i="5"/>
  <c r="AB74" i="5"/>
  <c r="AB22" i="5"/>
  <c r="AB27" i="5"/>
  <c r="AD27" i="5" s="1"/>
  <c r="AB41" i="5"/>
  <c r="AB85" i="5"/>
  <c r="AB95" i="5"/>
  <c r="AB106" i="5"/>
  <c r="AB24" i="4"/>
  <c r="AB43" i="4"/>
  <c r="AB70" i="4"/>
  <c r="AB78" i="4"/>
  <c r="AB90" i="4"/>
  <c r="AB29" i="4"/>
  <c r="AB50" i="4"/>
  <c r="AB101" i="4"/>
  <c r="AB15" i="4"/>
  <c r="AB17" i="3"/>
  <c r="AB75" i="3"/>
  <c r="AB86" i="3"/>
  <c r="AB112" i="3"/>
  <c r="AB26" i="3"/>
  <c r="AB27" i="2"/>
  <c r="AB32" i="2"/>
  <c r="AB47" i="2"/>
  <c r="AB92" i="2"/>
  <c r="AC111" i="2"/>
  <c r="AC21" i="2"/>
  <c r="AC27" i="2" s="1"/>
  <c r="AC118" i="2"/>
  <c r="AB80" i="2"/>
  <c r="AB64" i="1"/>
  <c r="AB145" i="1"/>
  <c r="AB33" i="1"/>
  <c r="AB127" i="1"/>
  <c r="AB54" i="1"/>
  <c r="AB122" i="1"/>
  <c r="AB39" i="1"/>
  <c r="AB107" i="1"/>
  <c r="AD27" i="2" l="1"/>
  <c r="AB13" i="5"/>
  <c r="AD47" i="1" l="1"/>
  <c r="AD92" i="2" l="1"/>
  <c r="AC31" i="3" l="1"/>
  <c r="AC17" i="8"/>
  <c r="AD26" i="8"/>
  <c r="AD34" i="8"/>
  <c r="AD40" i="8"/>
  <c r="AD45" i="8"/>
  <c r="AD54" i="8"/>
  <c r="AD57" i="8"/>
  <c r="AD59" i="8"/>
  <c r="AD62" i="8"/>
  <c r="AD71" i="8"/>
  <c r="AD72" i="8"/>
  <c r="AD77" i="8"/>
  <c r="AD84" i="8"/>
  <c r="AD87" i="8"/>
  <c r="AC19" i="7"/>
  <c r="AD28" i="7"/>
  <c r="AD36" i="7"/>
  <c r="AD43" i="7"/>
  <c r="AD47" i="7"/>
  <c r="AD48" i="7"/>
  <c r="AD51" i="7"/>
  <c r="AD53" i="7"/>
  <c r="AD55" i="7"/>
  <c r="AD58" i="7"/>
  <c r="AD87" i="7"/>
  <c r="AD90" i="7"/>
  <c r="AD93" i="7"/>
  <c r="AD99" i="7"/>
  <c r="AD17" i="6"/>
  <c r="AD36" i="6"/>
  <c r="AD47" i="6"/>
  <c r="AD50" i="6"/>
  <c r="AD51" i="6"/>
  <c r="AD53" i="6"/>
  <c r="AD56" i="6"/>
  <c r="AD71" i="6"/>
  <c r="AD74" i="6"/>
  <c r="AD78" i="6"/>
  <c r="AD81" i="6"/>
  <c r="AD86" i="6"/>
  <c r="AD89" i="6"/>
  <c r="AD90" i="6"/>
  <c r="AD92" i="6"/>
  <c r="AD95" i="6"/>
  <c r="AD99" i="6"/>
  <c r="AD22" i="5"/>
  <c r="AD31" i="5"/>
  <c r="AD35" i="5"/>
  <c r="AD41" i="5"/>
  <c r="AD45" i="5"/>
  <c r="AD46" i="5"/>
  <c r="AD49" i="5"/>
  <c r="AD51" i="5"/>
  <c r="AD53" i="5"/>
  <c r="AD56" i="5"/>
  <c r="AD74" i="5"/>
  <c r="AD77" i="5"/>
  <c r="AD85" i="5"/>
  <c r="AD88" i="5"/>
  <c r="AD95" i="5"/>
  <c r="AD98" i="5"/>
  <c r="AD99" i="5"/>
  <c r="AD101" i="5"/>
  <c r="AD106" i="5"/>
  <c r="AD111" i="5"/>
  <c r="AC18" i="4"/>
  <c r="AD29" i="4"/>
  <c r="AD31" i="4"/>
  <c r="AD37" i="4"/>
  <c r="AD48" i="4"/>
  <c r="AD50" i="4"/>
  <c r="AD52" i="4"/>
  <c r="AD55" i="4"/>
  <c r="AD70" i="4"/>
  <c r="AD73" i="4"/>
  <c r="AD81" i="4"/>
  <c r="AD93" i="4"/>
  <c r="AD94" i="4"/>
  <c r="AD96" i="4"/>
  <c r="AD99" i="4"/>
  <c r="AD101" i="4"/>
  <c r="AD103" i="4"/>
  <c r="AC8" i="4"/>
  <c r="AC20" i="3"/>
  <c r="AC26" i="3" s="1"/>
  <c r="AD51" i="3"/>
  <c r="AD52" i="3"/>
  <c r="AD54" i="3"/>
  <c r="AD75" i="3"/>
  <c r="AD78" i="3"/>
  <c r="AD86" i="3"/>
  <c r="AD89" i="3"/>
  <c r="AD105" i="3"/>
  <c r="AD112" i="3"/>
  <c r="AC8" i="3"/>
  <c r="AD8" i="3" s="1"/>
  <c r="AD80" i="2"/>
  <c r="AD83" i="2"/>
  <c r="AD95" i="2"/>
  <c r="AD106" i="2"/>
  <c r="AD111" i="2"/>
  <c r="AD116" i="2"/>
  <c r="AD118" i="2"/>
  <c r="AD120" i="2"/>
  <c r="AD123" i="2"/>
  <c r="AD61" i="2"/>
  <c r="AD58" i="2"/>
  <c r="AD56" i="2"/>
  <c r="AD55" i="2"/>
  <c r="AD40" i="2"/>
  <c r="AD36" i="2"/>
  <c r="AD34" i="2"/>
  <c r="AD17" i="8" l="1"/>
  <c r="AC22" i="8"/>
  <c r="AD22" i="8" s="1"/>
  <c r="AD8" i="4"/>
  <c r="AC15" i="4"/>
  <c r="AD15" i="4" s="1"/>
  <c r="AD18" i="4"/>
  <c r="AC24" i="4"/>
  <c r="AD24" i="4" s="1"/>
  <c r="AD19" i="7"/>
  <c r="AC24" i="7"/>
  <c r="AD24" i="7" s="1"/>
  <c r="AD51" i="2"/>
  <c r="AD52" i="2" s="1"/>
  <c r="AC8" i="8"/>
  <c r="AC8" i="7"/>
  <c r="AD80" i="7"/>
  <c r="AD105" i="7"/>
  <c r="AD27" i="7"/>
  <c r="AD96" i="7"/>
  <c r="AD42" i="6"/>
  <c r="AD97" i="6"/>
  <c r="AD26" i="6"/>
  <c r="AD46" i="6"/>
  <c r="AD102" i="6"/>
  <c r="AD28" i="6"/>
  <c r="AD25" i="5"/>
  <c r="AD108" i="5"/>
  <c r="AD16" i="5"/>
  <c r="AD104" i="5"/>
  <c r="AD29" i="5"/>
  <c r="AD106" i="4"/>
  <c r="AD43" i="4"/>
  <c r="AD27" i="4"/>
  <c r="AD33" i="4"/>
  <c r="AD109" i="2"/>
  <c r="AD30" i="2"/>
  <c r="AD113" i="2"/>
  <c r="AD35" i="3"/>
  <c r="AD101" i="3"/>
  <c r="AD107" i="3"/>
  <c r="AD110" i="3"/>
  <c r="AD117" i="3"/>
  <c r="AD46" i="3"/>
  <c r="AD74" i="8"/>
  <c r="AD68" i="8"/>
  <c r="AD30" i="8"/>
  <c r="AD28" i="8"/>
  <c r="AD25" i="8"/>
  <c r="AD110" i="7"/>
  <c r="AD107" i="7"/>
  <c r="AD83" i="7"/>
  <c r="AD32" i="7"/>
  <c r="AD30" i="7"/>
  <c r="AD32" i="6"/>
  <c r="AD30" i="6"/>
  <c r="AC8" i="6"/>
  <c r="AC8" i="5"/>
  <c r="AD90" i="4"/>
  <c r="AD78" i="4"/>
  <c r="AD114" i="3"/>
  <c r="AD104" i="3"/>
  <c r="AD57" i="3"/>
  <c r="AD39" i="3"/>
  <c r="AD26" i="3"/>
  <c r="AC47" i="2"/>
  <c r="AD47" i="2" s="1"/>
  <c r="AD33" i="3"/>
  <c r="AD21" i="2"/>
  <c r="AD8" i="8" l="1"/>
  <c r="AC14" i="8"/>
  <c r="AD14" i="8" s="1"/>
  <c r="AD8" i="7"/>
  <c r="AC16" i="7"/>
  <c r="AD16" i="7" s="1"/>
  <c r="AD8" i="6"/>
  <c r="AC14" i="6"/>
  <c r="AD14" i="6" s="1"/>
  <c r="AD8" i="5"/>
  <c r="AC13" i="5"/>
  <c r="AD13" i="5" s="1"/>
  <c r="AC52" i="2"/>
  <c r="AC32" i="2"/>
  <c r="AD32" i="2" s="1"/>
  <c r="AC94" i="1"/>
  <c r="AC127" i="1"/>
  <c r="AC17" i="3"/>
  <c r="AD17" i="3" s="1"/>
  <c r="AC64" i="1"/>
  <c r="AC122" i="1"/>
  <c r="AC145" i="1"/>
  <c r="AC54" i="1"/>
  <c r="AD29" i="3"/>
  <c r="AD31" i="3"/>
  <c r="AD20" i="3"/>
  <c r="AC107" i="1"/>
  <c r="AC39" i="1"/>
  <c r="AC27" i="1"/>
  <c r="AC33" i="1" s="1"/>
  <c r="AD145" i="1" l="1"/>
  <c r="AC8" i="2"/>
  <c r="AC8" i="1"/>
  <c r="AC24" i="1" s="1"/>
  <c r="AD27" i="1"/>
  <c r="AD33" i="1"/>
  <c r="AD36" i="1"/>
  <c r="AD39" i="1"/>
  <c r="AD41" i="1"/>
  <c r="AD43" i="1"/>
  <c r="AD54" i="1"/>
  <c r="AD58" i="1"/>
  <c r="AD62" i="1"/>
  <c r="AD64" i="1"/>
  <c r="AD66" i="1"/>
  <c r="AD69" i="1"/>
  <c r="AD94" i="1"/>
  <c r="AD97" i="1"/>
  <c r="AD107" i="1"/>
  <c r="AD110" i="1"/>
  <c r="AD122" i="1"/>
  <c r="AD125" i="1"/>
  <c r="AD127" i="1"/>
  <c r="AD129" i="1"/>
  <c r="AD132" i="1"/>
  <c r="AD147" i="1"/>
  <c r="AD150" i="1"/>
  <c r="AB291" i="1"/>
  <c r="AB292" i="1"/>
  <c r="AD24" i="1" l="1"/>
  <c r="AD8" i="1"/>
  <c r="AC18" i="2"/>
  <c r="AD18" i="2" s="1"/>
  <c r="AD8" i="2"/>
</calcChain>
</file>

<file path=xl/sharedStrings.xml><?xml version="1.0" encoding="utf-8"?>
<sst xmlns="http://schemas.openxmlformats.org/spreadsheetml/2006/main" count="2475" uniqueCount="256">
  <si>
    <t>Monthly Income Statement</t>
  </si>
  <si>
    <t>GL Code</t>
  </si>
  <si>
    <t>Accounts</t>
  </si>
  <si>
    <t>Monthly Ave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</si>
  <si>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</si>
  <si>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</si>
  <si>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</si>
  <si>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</si>
  <si>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</si>
  <si>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</si>
  <si>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</si>
  <si>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</si>
  <si>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</si>
  <si>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</si>
  <si>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</si>
  <si>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</si>
  <si>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</t>
  </si>
  <si>
    <t>YTD Actual</t>
  </si>
  <si>
    <t>RCEC--7A</t>
  </si>
  <si>
    <t xml:space="preserve"> </t>
  </si>
  <si>
    <t>Revenue:</t>
  </si>
  <si>
    <t>5000</t>
  </si>
  <si>
    <t xml:space="preserve">  Listener Support</t>
  </si>
  <si>
    <t>5011</t>
  </si>
  <si>
    <t xml:space="preserve">  Website Income</t>
  </si>
  <si>
    <t>5020</t>
  </si>
  <si>
    <t xml:space="preserve">  Corporate Match</t>
  </si>
  <si>
    <t>5752</t>
  </si>
  <si>
    <t xml:space="preserve">  Major Donor Income &gt;$1K/Yr</t>
  </si>
  <si>
    <t>5001 + 5009:5010 + 5999</t>
  </si>
  <si>
    <t xml:space="preserve">  Donations </t>
  </si>
  <si>
    <t>5002</t>
  </si>
  <si>
    <t>5770</t>
  </si>
  <si>
    <t xml:space="preserve">  Car Donations</t>
  </si>
  <si>
    <t>5651</t>
  </si>
  <si>
    <t xml:space="preserve">  Sponsorships Underwriting</t>
  </si>
  <si>
    <t>5749:5751 + 5755</t>
  </si>
  <si>
    <t xml:space="preserve">  Community Events Income</t>
  </si>
  <si>
    <t>5760</t>
  </si>
  <si>
    <t xml:space="preserve">  Crafts Fair Income</t>
  </si>
  <si>
    <t>5015</t>
  </si>
  <si>
    <t xml:space="preserve">  Premium Sale - Pacifica Stations</t>
  </si>
  <si>
    <t>5710 + 5720</t>
  </si>
  <si>
    <t xml:space="preserve">  Premium Sale, Non-Pacifica</t>
  </si>
  <si>
    <t>5715</t>
  </si>
  <si>
    <t xml:space="preserve">  Income from Affiliates</t>
  </si>
  <si>
    <t>5900 + 5901</t>
  </si>
  <si>
    <t xml:space="preserve">  SCA Rent Income</t>
  </si>
  <si>
    <t>5800 + 5810</t>
  </si>
  <si>
    <t xml:space="preserve">  Grant Income</t>
  </si>
  <si>
    <t>5805</t>
  </si>
  <si>
    <t xml:space="preserve">  Grant Income - Non Operating</t>
  </si>
  <si>
    <t>5599:5600 + 5062 + 5070 + 5602:5603 + 5610 + 5620:5621 + 5660 + 5700 + 5905:5906 + 5950</t>
  </si>
  <si>
    <t xml:space="preserve">  Miscellaneous/Other Income</t>
  </si>
  <si>
    <t>Total Revenue</t>
  </si>
  <si>
    <t>Expenses:</t>
  </si>
  <si>
    <t>Personnel Costs</t>
  </si>
  <si>
    <t>Board Expenses</t>
  </si>
  <si>
    <t>Administration Expenses</t>
  </si>
  <si>
    <t>Programming Expenses</t>
  </si>
  <si>
    <t>Development Expenses</t>
  </si>
  <si>
    <t>Community/Special Events</t>
  </si>
  <si>
    <t>Total Operating Expenses</t>
  </si>
  <si>
    <t xml:space="preserve">Central Services </t>
  </si>
  <si>
    <t>5100 + 5112 + 5200 + 5212 + 5500 + 5512 + 5300 + 5312 + 5400 + 5412</t>
  </si>
  <si>
    <t xml:space="preserve">  Central Svs From Stations</t>
  </si>
  <si>
    <t>6400</t>
  </si>
  <si>
    <t xml:space="preserve">  C/Svs Exp - PNO</t>
  </si>
  <si>
    <t>6412</t>
  </si>
  <si>
    <t xml:space="preserve">  C/Svs Exp - PRA</t>
  </si>
  <si>
    <t>Central Services</t>
  </si>
  <si>
    <t>Total / Net Expenses</t>
  </si>
  <si>
    <t>Net Income (Loss)</t>
  </si>
  <si>
    <t>EXPENSES DETAILS</t>
  </si>
  <si>
    <t>Salaries and Related Expenses</t>
  </si>
  <si>
    <t>6000:6002</t>
  </si>
  <si>
    <t xml:space="preserve">  Salaries</t>
  </si>
  <si>
    <t>6100 + 6104</t>
  </si>
  <si>
    <t xml:space="preserve">  Payroll Taxes - FICA</t>
  </si>
  <si>
    <t>6101</t>
  </si>
  <si>
    <t xml:space="preserve">  Payroll Taxes - SUI </t>
  </si>
  <si>
    <t>6102</t>
  </si>
  <si>
    <t xml:space="preserve">  Pension Contributions</t>
  </si>
  <si>
    <t>6103</t>
  </si>
  <si>
    <t xml:space="preserve">  403B Contributions</t>
  </si>
  <si>
    <t>6200</t>
  </si>
  <si>
    <t xml:space="preserve">  Health Benefits  </t>
  </si>
  <si>
    <t>6201</t>
  </si>
  <si>
    <t xml:space="preserve">  Child Care </t>
  </si>
  <si>
    <t>Total Salaries &amp; Related Expenses</t>
  </si>
  <si>
    <t>National Board Expenses</t>
  </si>
  <si>
    <t>6590</t>
  </si>
  <si>
    <t xml:space="preserve">  Board Meeting &amp; Travel</t>
  </si>
  <si>
    <t>6596 + 6598 + 6599</t>
  </si>
  <si>
    <t xml:space="preserve">  Board Exp - Consultations</t>
  </si>
  <si>
    <t xml:space="preserve">  Total National Board Expenses</t>
  </si>
  <si>
    <t>Local Board &amp; Election Expenses</t>
  </si>
  <si>
    <t>6591 + 6595</t>
  </si>
  <si>
    <t xml:space="preserve">  Local Brd and LSB Elect Exp</t>
  </si>
  <si>
    <t>6592</t>
  </si>
  <si>
    <t xml:space="preserve">  Local Advisory Board Exp</t>
  </si>
  <si>
    <t xml:space="preserve">  Total Local Board &amp; Election Expenses</t>
  </si>
  <si>
    <t>Total Board Expenses</t>
  </si>
  <si>
    <t>Administrative Expenses</t>
  </si>
  <si>
    <t>6500 + 6501:6502</t>
  </si>
  <si>
    <t xml:space="preserve">  Telephones   </t>
  </si>
  <si>
    <t>6503</t>
  </si>
  <si>
    <t xml:space="preserve">  Conference Calls</t>
  </si>
  <si>
    <t>6504</t>
  </si>
  <si>
    <t xml:space="preserve">  Internet/Cable </t>
  </si>
  <si>
    <t>6510:6511</t>
  </si>
  <si>
    <t xml:space="preserve">  Postage, USPS, FedEx, UPS</t>
  </si>
  <si>
    <t>6520</t>
  </si>
  <si>
    <t xml:space="preserve">  Asso. Dues, Periodicals   </t>
  </si>
  <si>
    <t>6300:6305</t>
  </si>
  <si>
    <t xml:space="preserve">  Consultant/Temps/Contractuals</t>
  </si>
  <si>
    <t>6530 + 6535 + 6830:6832 + 6862</t>
  </si>
  <si>
    <t xml:space="preserve">  Professional Fees - Legal</t>
  </si>
  <si>
    <t>6900</t>
  </si>
  <si>
    <t xml:space="preserve">  Settlement - Legal</t>
  </si>
  <si>
    <t>6532</t>
  </si>
  <si>
    <t xml:space="preserve">  Accounting-Contract Agency</t>
  </si>
  <si>
    <t>6534 + 6537:6538 + 6840</t>
  </si>
  <si>
    <t xml:space="preserve">  Audit Fees</t>
  </si>
  <si>
    <t>6860 + 6865</t>
  </si>
  <si>
    <t xml:space="preserve">  Payroll Charges       </t>
  </si>
  <si>
    <t>6531 + 6850</t>
  </si>
  <si>
    <t xml:space="preserve">  Insurance Expense  </t>
  </si>
  <si>
    <t>6560 + 6570 + 6756</t>
  </si>
  <si>
    <t xml:space="preserve">  Interest/Bank Charges         </t>
  </si>
  <si>
    <t>6571</t>
  </si>
  <si>
    <t xml:space="preserve">  Conference / Training</t>
  </si>
  <si>
    <t>6202 + 6580:6581</t>
  </si>
  <si>
    <t xml:space="preserve">  Travel</t>
  </si>
  <si>
    <t>6597 + 6600 + 6601</t>
  </si>
  <si>
    <t xml:space="preserve">  Office Exp &amp; Supplies     </t>
  </si>
  <si>
    <t>6742 + 6656 + 6665 + 6685</t>
  </si>
  <si>
    <t xml:space="preserve">  Computer Supplies/Maintenance </t>
  </si>
  <si>
    <t>6219 + 6615 + 6620:6622 + 6625 + 6569 + 6910</t>
  </si>
  <si>
    <t xml:space="preserve">  Taxes, Fees          </t>
  </si>
  <si>
    <t>6610</t>
  </si>
  <si>
    <t xml:space="preserve">  Office Rent </t>
  </si>
  <si>
    <t>6631 + 6664</t>
  </si>
  <si>
    <t xml:space="preserve">  Rent/Lease-Equip  </t>
  </si>
  <si>
    <t>6635</t>
  </si>
  <si>
    <t xml:space="preserve">  Storage Rental</t>
  </si>
  <si>
    <t>6640</t>
  </si>
  <si>
    <t xml:space="preserve">  Utilities - Office</t>
  </si>
  <si>
    <t>6650 + 6582</t>
  </si>
  <si>
    <t xml:space="preserve">  Gen Repairs/Maint</t>
  </si>
  <si>
    <t>6661:6662</t>
  </si>
  <si>
    <t xml:space="preserve">  Personnel Search/Moving Exp</t>
  </si>
  <si>
    <t>6420 + 6440 + 6446 + 6450 + 6536 + 6572:6574 + 6660 + 6663 + 6870 + 6609 + 6890 + 6911 + 6950 + 6999:7001</t>
  </si>
  <si>
    <t xml:space="preserve">  Other Admin Exp      </t>
  </si>
  <si>
    <t>Total Administrative Expenses</t>
  </si>
  <si>
    <t>6670:6671 + 6693</t>
  </si>
  <si>
    <t xml:space="preserve">  News Services/Stringers</t>
  </si>
  <si>
    <t>6593 + 6675 + 6690 + 6694:6697 + 6701 + 6725</t>
  </si>
  <si>
    <t xml:space="preserve">  Programming</t>
  </si>
  <si>
    <t>6666 + 6703</t>
  </si>
  <si>
    <t xml:space="preserve">  CAC Training Expense/Apprenticeship</t>
  </si>
  <si>
    <t>6575 + 6820</t>
  </si>
  <si>
    <t xml:space="preserve">  NFCB, Convention</t>
  </si>
  <si>
    <t>6673</t>
  </si>
  <si>
    <t xml:space="preserve">  Satellite Fee-NewsUplink/Downlink </t>
  </si>
  <si>
    <t>6672 + 6680 + 6681</t>
  </si>
  <si>
    <t xml:space="preserve">  Maintenance-Tech/Wire Supplies</t>
  </si>
  <si>
    <t>6698</t>
  </si>
  <si>
    <t xml:space="preserve">  Web-Site Expenses   </t>
  </si>
  <si>
    <t>6699:6700</t>
  </si>
  <si>
    <t xml:space="preserve">  Tapes/Supplies/Restoration</t>
  </si>
  <si>
    <t>6630</t>
  </si>
  <si>
    <t xml:space="preserve">  Rent -Tower</t>
  </si>
  <si>
    <t>6641</t>
  </si>
  <si>
    <t xml:space="preserve">  Utilities -Tower</t>
  </si>
  <si>
    <t>Total Programming Expenses</t>
  </si>
  <si>
    <t>6576 + 6565</t>
  </si>
  <si>
    <t xml:space="preserve">  Credit Card Discount Fees</t>
  </si>
  <si>
    <t>6713 + 6771</t>
  </si>
  <si>
    <t xml:space="preserve">  Direct Mail-Printing </t>
  </si>
  <si>
    <t>6772</t>
  </si>
  <si>
    <t xml:space="preserve">  Direct Mail-Postage</t>
  </si>
  <si>
    <t>6730 + 6773</t>
  </si>
  <si>
    <t xml:space="preserve">  Caging Costs/Subs Svcs</t>
  </si>
  <si>
    <t>6732:6733 + 6735</t>
  </si>
  <si>
    <t xml:space="preserve">  Postage-Dev/Mailing Svs</t>
  </si>
  <si>
    <t>6602 + 6710:6712 + 6740 + 6731 + 6734 + 6760 + 6770</t>
  </si>
  <si>
    <t xml:space="preserve">  Printing, Mktg, Subs Supplies</t>
  </si>
  <si>
    <t>6445 + 6722 + 6775 + 6780 + 6821 + 6781 + 6785 + 6795 + 6416 + 6430</t>
  </si>
  <si>
    <t xml:space="preserve">  Development Exp    </t>
  </si>
  <si>
    <t>6413</t>
  </si>
  <si>
    <t xml:space="preserve">  Premiums from PRA</t>
  </si>
  <si>
    <t>6750 + 6999</t>
  </si>
  <si>
    <t xml:space="preserve">  Premiums from Other Vendors</t>
  </si>
  <si>
    <t>6752 + 6605</t>
  </si>
  <si>
    <t xml:space="preserve">  Premiums-Shipping  </t>
  </si>
  <si>
    <t>6721</t>
  </si>
  <si>
    <t xml:space="preserve">  Telemarketing</t>
  </si>
  <si>
    <t>6751 + 6720</t>
  </si>
  <si>
    <t xml:space="preserve">  Fund Drive / Tele Mktg Exp</t>
  </si>
  <si>
    <t>Total Development Expenses</t>
  </si>
  <si>
    <t>Community Events</t>
  </si>
  <si>
    <t>6788 + 6789:6790 + 6792 + 6704 + 6822</t>
  </si>
  <si>
    <t xml:space="preserve">  Community Events Exp</t>
  </si>
  <si>
    <t>6791</t>
  </si>
  <si>
    <t xml:space="preserve">  Crafts Fair Expenses   </t>
  </si>
  <si>
    <t>Total Comm. Events Expenses</t>
  </si>
  <si>
    <t>Expenses Before C/Services</t>
  </si>
  <si>
    <t>5100</t>
  </si>
  <si>
    <t xml:space="preserve">  KPFA to N.O.</t>
  </si>
  <si>
    <t>5112</t>
  </si>
  <si>
    <t xml:space="preserve">  KPFA to PRA</t>
  </si>
  <si>
    <t>5200</t>
  </si>
  <si>
    <t xml:space="preserve">  KPFK to N.O.</t>
  </si>
  <si>
    <t>5212</t>
  </si>
  <si>
    <t xml:space="preserve">  KPFK to PRA</t>
  </si>
  <si>
    <t>5500</t>
  </si>
  <si>
    <t xml:space="preserve">  KPFT to N.O.</t>
  </si>
  <si>
    <t>5512</t>
  </si>
  <si>
    <t xml:space="preserve">  KPFT to PRA</t>
  </si>
  <si>
    <t>5300</t>
  </si>
  <si>
    <t xml:space="preserve">  WBAI to N.O.</t>
  </si>
  <si>
    <t>5312</t>
  </si>
  <si>
    <t xml:space="preserve">  WBAI to PRA</t>
  </si>
  <si>
    <t>5400</t>
  </si>
  <si>
    <t xml:space="preserve">  WPFW to N.O.</t>
  </si>
  <si>
    <t>5412</t>
  </si>
  <si>
    <t xml:space="preserve">  WPFW to PRA</t>
  </si>
  <si>
    <t>Net Income (Net Loss)</t>
  </si>
  <si>
    <t>KPFA</t>
  </si>
  <si>
    <t>KPFK</t>
  </si>
  <si>
    <t>KPFT</t>
  </si>
  <si>
    <t>WBAI</t>
  </si>
  <si>
    <t>WPFW</t>
  </si>
  <si>
    <t>PRA</t>
  </si>
  <si>
    <t>FY19</t>
  </si>
  <si>
    <t>National Office</t>
  </si>
  <si>
    <t>Pacifica Foundation Consolidated</t>
  </si>
  <si>
    <t>Prior YTD</t>
  </si>
  <si>
    <t>% Variance</t>
  </si>
  <si>
    <t>$ Variance</t>
  </si>
  <si>
    <t>Pacifica Affiliates Network</t>
  </si>
  <si>
    <t>FY20</t>
  </si>
  <si>
    <t xml:space="preserve">  PAN to N.O.</t>
  </si>
  <si>
    <t>Nov</t>
  </si>
  <si>
    <t>Dec</t>
  </si>
  <si>
    <t>Jan</t>
  </si>
  <si>
    <t>Feb</t>
  </si>
  <si>
    <t>For the Six Months Ending March 31, 2021</t>
  </si>
  <si>
    <t>Mar</t>
  </si>
  <si>
    <t>FY21</t>
  </si>
  <si>
    <t>Rev/Pers</t>
  </si>
  <si>
    <t>Revenue / Personnel</t>
  </si>
  <si>
    <t>2021 YTD</t>
  </si>
  <si>
    <t>FY 2020</t>
  </si>
  <si>
    <t>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</si>
</sst>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.85"/>
      <color rgb="FF000000"/>
      <name val="Arial Narrow"/>
      <family val="2"/>
    </font>
    <font>
      <sz val="8.85"/>
      <color rgb="FF000000"/>
      <name val="Arial Narrow"/>
      <family val="2"/>
    </font>
    <font>
      <sz val="9"/>
      <color theme="1"/>
      <name val="Arial Narrow"/>
      <family val="2"/>
    </font>
    <font>
      <sz val="8.85"/>
      <color rgb="FF000000"/>
      <name val="Arial Narrow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1">
    <xf numFmtId="0" fontId="0" fillId="0" borderId="0"/>
    <xf numFmtId="43" fontId="1" fillId="0" borderId="0" applyFont="0" applyFill="0" applyBorder="0" applyAlignment="0" applyProtection="0"/>
    <xf numFmtId="0" fontId="2" fillId="0" borderId="0" applyAlignment="0"/>
    <xf numFmtId="0" fontId="2" fillId="0" borderId="0" applyAlignment="0"/>
    <xf numFmtId="0" fontId="2" fillId="0" borderId="0" applyAlignment="0"/>
    <xf numFmtId="0" fontId="2" fillId="0" borderId="0" applyAlignment="0"/>
    <xf numFmtId="0" fontId="2" fillId="0" borderId="0" applyAlignment="0"/>
    <xf numFmtId="0" fontId="2" fillId="0" borderId="0" applyAlignment="0"/>
    <xf numFmtId="0" fontId="2" fillId="0" borderId="0" applyAlignment="0"/>
    <xf numFmtId="0" fontId="2" fillId="0" borderId="0" applyAlignment="0"/>
    <xf numFmtId="0" fontId="2" fillId="0" borderId="0" applyAlignment="0"/>
    <xf numFmtId="0" fontId="3" fillId="0" borderId="0" applyAlignment="0"/>
    <xf numFmtId="0" fontId="3" fillId="0" borderId="0" applyAlignment="0"/>
    <xf numFmtId="0" fontId="3" fillId="0" borderId="0" applyAlignment="0"/>
    <xf numFmtId="0" fontId="3" fillId="0" borderId="0" applyAlignment="0"/>
    <xf numFmtId="0" fontId="3" fillId="0" borderId="0" applyAlignment="0"/>
    <xf numFmtId="0" fontId="3" fillId="0" borderId="0" applyAlignment="0"/>
    <xf numFmtId="0" fontId="3" fillId="0" borderId="0" applyAlignment="0"/>
    <xf numFmtId="0" fontId="3" fillId="0" borderId="0" applyAlignment="0"/>
    <xf numFmtId="9" fontId="1" fillId="0" borderId="0" applyFont="0" applyFill="0" applyBorder="0" applyAlignment="0" applyProtection="0"/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301">
    <xf numFmtId="0" fontId="0" fillId="0" borderId="0" xfId="0"/>
    <xf numFmtId="0" fontId="2" fillId="0" borderId="0" xfId="10" applyFill="1" applyAlignment="1">
      <alignment horizontal="left"/>
    </xf>
    <xf numFmtId="0" fontId="0" fillId="0" borderId="0" xfId="0" applyFill="1"/>
    <xf numFmtId="39" fontId="3" fillId="0" borderId="0" xfId="11" applyNumberFormat="1" applyFill="1" applyAlignment="1">
      <alignment horizontal="right" wrapText="1"/>
    </xf>
    <xf numFmtId="39" fontId="4" fillId="0" borderId="0" xfId="0" applyNumberFormat="1" applyFont="1" applyFill="1"/>
    <xf numFmtId="9" fontId="4" fillId="0" borderId="0" xfId="19" applyFont="1" applyFill="1"/>
    <xf numFmtId="39" fontId="3" fillId="0" borderId="0" xfId="11" applyNumberFormat="1" applyFill="1" applyBorder="1" applyAlignment="1">
      <alignment horizontal="right" wrapText="1"/>
    </xf>
    <xf numFmtId="43" fontId="4" fillId="0" borderId="0" xfId="1" applyFont="1" applyFill="1" applyBorder="1"/>
    <xf numFmtId="9" fontId="4" fillId="0" borderId="0" xfId="19" applyFont="1" applyFill="1" applyBorder="1"/>
    <xf numFmtId="39" fontId="4" fillId="0" borderId="4" xfId="0" applyNumberFormat="1" applyFont="1" applyFill="1" applyBorder="1"/>
    <xf numFmtId="9" fontId="4" fillId="0" borderId="4" xfId="19" applyFont="1" applyFill="1" applyBorder="1"/>
    <xf numFmtId="39" fontId="4" fillId="0" borderId="3" xfId="0" applyNumberFormat="1" applyFont="1" applyFill="1" applyBorder="1"/>
    <xf numFmtId="9" fontId="4" fillId="0" borderId="3" xfId="19" applyFont="1" applyFill="1" applyBorder="1"/>
    <xf numFmtId="39" fontId="4" fillId="0" borderId="5" xfId="0" applyNumberFormat="1" applyFont="1" applyFill="1" applyBorder="1"/>
    <xf numFmtId="9" fontId="4" fillId="0" borderId="5" xfId="19" applyFont="1" applyFill="1" applyBorder="1"/>
    <xf numFmtId="39" fontId="3" fillId="0" borderId="0" xfId="15" applyNumberFormat="1" applyFill="1" applyBorder="1" applyAlignment="1">
      <alignment horizontal="right" wrapText="1"/>
    </xf>
    <xf numFmtId="39" fontId="3" fillId="0" borderId="0" xfId="15" applyNumberFormat="1" applyFill="1" applyAlignment="1">
      <alignment horizontal="right" wrapText="1"/>
    </xf>
    <xf numFmtId="39" fontId="3" fillId="0" borderId="0" xfId="16" applyNumberFormat="1" applyFill="1" applyBorder="1" applyAlignment="1">
      <alignment horizontal="right" wrapText="1"/>
    </xf>
    <xf numFmtId="39" fontId="3" fillId="0" borderId="0" xfId="17" applyNumberFormat="1" applyFill="1" applyAlignment="1">
      <alignment horizontal="right" wrapText="1"/>
    </xf>
    <xf numFmtId="39" fontId="3" fillId="0" borderId="0" xfId="17" applyNumberFormat="1" applyFill="1" applyBorder="1" applyAlignment="1">
      <alignment horizontal="right" wrapText="1"/>
    </xf>
    <xf numFmtId="39" fontId="3" fillId="0" borderId="0" xfId="18" applyNumberFormat="1" applyFill="1" applyAlignment="1">
      <alignment horizontal="right" wrapText="1"/>
    </xf>
    <xf numFmtId="39" fontId="3" fillId="0" borderId="0" xfId="18" applyNumberFormat="1" applyFill="1" applyBorder="1" applyAlignment="1">
      <alignment horizontal="right" wrapText="1"/>
    </xf>
    <xf numFmtId="39" fontId="3" fillId="0" borderId="0" xfId="12" applyNumberFormat="1" applyFill="1" applyAlignment="1">
      <alignment horizontal="right" wrapText="1"/>
    </xf>
    <xf numFmtId="39" fontId="3" fillId="0" borderId="0" xfId="12" applyNumberFormat="1" applyFill="1" applyBorder="1" applyAlignment="1">
      <alignment horizontal="right" wrapText="1"/>
    </xf>
    <xf numFmtId="39" fontId="3" fillId="0" borderId="0" xfId="13" applyNumberFormat="1" applyFill="1" applyAlignment="1">
      <alignment horizontal="right" wrapText="1"/>
    </xf>
    <xf numFmtId="39" fontId="3" fillId="0" borderId="0" xfId="13" applyNumberFormat="1" applyFill="1" applyBorder="1" applyAlignment="1">
      <alignment horizontal="right" wrapText="1"/>
    </xf>
    <xf numFmtId="0" fontId="2" fillId="0" borderId="0" xfId="10" applyFill="1" applyAlignment="1">
      <alignment horizontal="center" wrapText="1"/>
    </xf>
    <xf numFmtId="0" fontId="2" fillId="0" borderId="0" xfId="10" applyFill="1" applyBorder="1" applyAlignment="1">
      <alignment horizontal="center" wrapText="1"/>
    </xf>
    <xf numFmtId="0" fontId="2" fillId="0" borderId="1" xfId="10" applyFill="1" applyBorder="1" applyAlignment="1">
      <alignment horizontal="center"/>
    </xf>
    <xf numFmtId="0" fontId="3" fillId="0" borderId="1" xfId="11" applyFill="1" applyBorder="1" applyAlignment="1">
      <alignment horizontal="center"/>
    </xf>
    <xf numFmtId="0" fontId="3" fillId="0" borderId="0" xfId="11" applyFill="1"/>
    <xf numFmtId="0" fontId="3" fillId="0" borderId="0" xfId="11" applyFill="1" applyBorder="1" applyAlignment="1">
      <alignment horizontal="center"/>
    </xf>
    <xf numFmtId="0" fontId="3" fillId="0" borderId="0" xfId="11" applyFill="1" applyAlignment="1">
      <alignment horizontal="left"/>
    </xf>
    <xf numFmtId="0" fontId="3" fillId="0" borderId="0" xfId="11" applyFill="1" applyAlignment="1">
      <alignment horizontal="right" wrapText="1"/>
    </xf>
    <xf numFmtId="0" fontId="3" fillId="0" borderId="0" xfId="11" applyFill="1" applyAlignment="1">
      <alignment horizontal="center"/>
    </xf>
    <xf numFmtId="0" fontId="3" fillId="0" borderId="0" xfId="11" applyFill="1" applyBorder="1" applyAlignment="1">
      <alignment horizontal="right" wrapText="1"/>
    </xf>
    <xf numFmtId="0" fontId="2" fillId="0" borderId="0" xfId="10" applyFill="1" applyBorder="1" applyAlignment="1">
      <alignment horizontal="left"/>
    </xf>
    <xf numFmtId="0" fontId="0" fillId="0" borderId="0" xfId="0" applyFill="1" applyBorder="1"/>
    <xf numFmtId="0" fontId="2" fillId="0" borderId="0" xfId="2" applyFill="1" applyAlignment="1">
      <alignment horizontal="left"/>
    </xf>
    <xf numFmtId="0" fontId="4" fillId="0" borderId="0" xfId="0" applyFont="1" applyFill="1"/>
    <xf numFmtId="0" fontId="2" fillId="0" borderId="0" xfId="9" applyFill="1" applyAlignment="1">
      <alignment horizontal="center" wrapText="1"/>
    </xf>
    <xf numFmtId="0" fontId="2" fillId="0" borderId="0" xfId="9" applyFill="1" applyBorder="1" applyAlignment="1">
      <alignment horizontal="center" wrapText="1"/>
    </xf>
    <xf numFmtId="0" fontId="2" fillId="0" borderId="1" xfId="9" applyFill="1" applyBorder="1" applyAlignment="1">
      <alignment horizontal="center"/>
    </xf>
    <xf numFmtId="0" fontId="3" fillId="0" borderId="1" xfId="18" applyFill="1" applyBorder="1" applyAlignment="1">
      <alignment horizontal="center"/>
    </xf>
    <xf numFmtId="0" fontId="3" fillId="0" borderId="0" xfId="18" applyFill="1"/>
    <xf numFmtId="0" fontId="3" fillId="0" borderId="0" xfId="18" applyFill="1" applyBorder="1" applyAlignment="1">
      <alignment horizontal="center"/>
    </xf>
    <xf numFmtId="0" fontId="2" fillId="0" borderId="0" xfId="9" applyFill="1" applyAlignment="1">
      <alignment horizontal="left"/>
    </xf>
    <xf numFmtId="0" fontId="3" fillId="0" borderId="0" xfId="18" applyFill="1" applyAlignment="1">
      <alignment horizontal="left"/>
    </xf>
    <xf numFmtId="0" fontId="3" fillId="0" borderId="0" xfId="18" applyFill="1" applyAlignment="1">
      <alignment horizontal="right" wrapText="1"/>
    </xf>
    <xf numFmtId="0" fontId="3" fillId="0" borderId="0" xfId="18" applyFill="1" applyAlignment="1">
      <alignment horizontal="center"/>
    </xf>
    <xf numFmtId="0" fontId="3" fillId="0" borderId="0" xfId="18" applyFill="1" applyBorder="1" applyAlignment="1">
      <alignment horizontal="right" wrapText="1"/>
    </xf>
    <xf numFmtId="39" fontId="3" fillId="0" borderId="1" xfId="18" applyNumberFormat="1" applyFill="1" applyBorder="1" applyAlignment="1">
      <alignment horizontal="right" wrapText="1"/>
    </xf>
    <xf numFmtId="0" fontId="2" fillId="0" borderId="0" xfId="9" applyFill="1" applyBorder="1" applyAlignment="1">
      <alignment horizontal="left"/>
    </xf>
    <xf numFmtId="39" fontId="3" fillId="0" borderId="5" xfId="18" applyNumberFormat="1" applyFill="1" applyBorder="1" applyAlignment="1">
      <alignment horizontal="right" wrapText="1"/>
    </xf>
    <xf numFmtId="0" fontId="3" fillId="0" borderId="1" xfId="18" applyFill="1" applyBorder="1" applyAlignment="1">
      <alignment horizontal="right" wrapText="1"/>
    </xf>
    <xf numFmtId="39" fontId="3" fillId="0" borderId="2" xfId="18" applyNumberFormat="1" applyFill="1" applyBorder="1" applyAlignment="1">
      <alignment horizontal="right" wrapText="1"/>
    </xf>
    <xf numFmtId="0" fontId="2" fillId="0" borderId="0" xfId="8" applyFill="1" applyAlignment="1">
      <alignment horizontal="center" wrapText="1"/>
    </xf>
    <xf numFmtId="0" fontId="2" fillId="0" borderId="0" xfId="8" applyFill="1" applyBorder="1" applyAlignment="1">
      <alignment horizontal="center" wrapText="1"/>
    </xf>
    <xf numFmtId="0" fontId="2" fillId="0" borderId="1" xfId="8" applyFill="1" applyBorder="1" applyAlignment="1">
      <alignment horizontal="center"/>
    </xf>
    <xf numFmtId="0" fontId="3" fillId="0" borderId="1" xfId="17" applyFill="1" applyBorder="1" applyAlignment="1">
      <alignment horizontal="center"/>
    </xf>
    <xf numFmtId="0" fontId="3" fillId="0" borderId="0" xfId="17" applyFill="1"/>
    <xf numFmtId="0" fontId="3" fillId="0" borderId="0" xfId="17" applyFill="1" applyBorder="1" applyAlignment="1">
      <alignment horizontal="center"/>
    </xf>
    <xf numFmtId="0" fontId="2" fillId="0" borderId="0" xfId="8" applyFill="1" applyAlignment="1">
      <alignment horizontal="left"/>
    </xf>
    <xf numFmtId="0" fontId="3" fillId="0" borderId="0" xfId="17" applyFill="1" applyAlignment="1">
      <alignment horizontal="left"/>
    </xf>
    <xf numFmtId="0" fontId="3" fillId="0" borderId="0" xfId="17" applyFill="1" applyAlignment="1">
      <alignment horizontal="right" wrapText="1"/>
    </xf>
    <xf numFmtId="0" fontId="3" fillId="0" borderId="0" xfId="17" applyFill="1" applyAlignment="1">
      <alignment horizontal="center"/>
    </xf>
    <xf numFmtId="0" fontId="3" fillId="0" borderId="0" xfId="17" applyFill="1" applyBorder="1" applyAlignment="1">
      <alignment horizontal="right" wrapText="1"/>
    </xf>
    <xf numFmtId="0" fontId="2" fillId="0" borderId="0" xfId="8" applyFill="1" applyBorder="1" applyAlignment="1">
      <alignment horizontal="left"/>
    </xf>
    <xf numFmtId="0" fontId="2" fillId="0" borderId="0" xfId="7" applyFill="1" applyAlignment="1">
      <alignment horizontal="center" wrapText="1"/>
    </xf>
    <xf numFmtId="0" fontId="2" fillId="0" borderId="0" xfId="7" applyFill="1" applyBorder="1" applyAlignment="1">
      <alignment horizontal="center" wrapText="1"/>
    </xf>
    <xf numFmtId="0" fontId="2" fillId="0" borderId="1" xfId="7" applyFill="1" applyBorder="1" applyAlignment="1">
      <alignment horizontal="center"/>
    </xf>
    <xf numFmtId="0" fontId="3" fillId="0" borderId="1" xfId="16" applyFill="1" applyBorder="1" applyAlignment="1">
      <alignment horizontal="center"/>
    </xf>
    <xf numFmtId="0" fontId="3" fillId="0" borderId="0" xfId="16" applyFill="1"/>
    <xf numFmtId="0" fontId="3" fillId="0" borderId="0" xfId="16" applyFill="1" applyBorder="1" applyAlignment="1">
      <alignment horizontal="center"/>
    </xf>
    <xf numFmtId="0" fontId="2" fillId="0" borderId="0" xfId="7" applyFill="1" applyAlignment="1">
      <alignment horizontal="left"/>
    </xf>
    <xf numFmtId="0" fontId="3" fillId="0" borderId="0" xfId="16" applyFill="1" applyAlignment="1">
      <alignment horizontal="left"/>
    </xf>
    <xf numFmtId="0" fontId="3" fillId="0" borderId="0" xfId="16" applyFill="1" applyAlignment="1">
      <alignment horizontal="right" wrapText="1"/>
    </xf>
    <xf numFmtId="0" fontId="3" fillId="0" borderId="0" xfId="16" applyFill="1" applyAlignment="1">
      <alignment horizontal="center"/>
    </xf>
    <xf numFmtId="0" fontId="3" fillId="0" borderId="0" xfId="16" applyFill="1" applyBorder="1" applyAlignment="1">
      <alignment horizontal="right" wrapText="1"/>
    </xf>
    <xf numFmtId="39" fontId="3" fillId="0" borderId="0" xfId="16" applyNumberFormat="1" applyFill="1" applyAlignment="1">
      <alignment horizontal="right" wrapText="1"/>
    </xf>
    <xf numFmtId="0" fontId="2" fillId="0" borderId="0" xfId="7" applyFill="1" applyBorder="1" applyAlignment="1">
      <alignment horizontal="left"/>
    </xf>
    <xf numFmtId="0" fontId="2" fillId="0" borderId="0" xfId="6" applyFill="1" applyAlignment="1">
      <alignment horizontal="center" wrapText="1"/>
    </xf>
    <xf numFmtId="0" fontId="2" fillId="0" borderId="0" xfId="6" applyFill="1" applyBorder="1" applyAlignment="1">
      <alignment horizontal="center" wrapText="1"/>
    </xf>
    <xf numFmtId="0" fontId="2" fillId="0" borderId="1" xfId="6" applyFill="1" applyBorder="1" applyAlignment="1">
      <alignment horizontal="center"/>
    </xf>
    <xf numFmtId="0" fontId="3" fillId="0" borderId="1" xfId="15" applyFill="1" applyBorder="1" applyAlignment="1">
      <alignment horizontal="center"/>
    </xf>
    <xf numFmtId="0" fontId="3" fillId="0" borderId="0" xfId="15" applyFill="1"/>
    <xf numFmtId="0" fontId="3" fillId="0" borderId="0" xfId="15" applyFill="1" applyBorder="1" applyAlignment="1">
      <alignment horizontal="center"/>
    </xf>
    <xf numFmtId="0" fontId="2" fillId="0" borderId="0" xfId="6" applyFill="1" applyAlignment="1">
      <alignment horizontal="left"/>
    </xf>
    <xf numFmtId="0" fontId="3" fillId="0" borderId="0" xfId="15" applyFill="1" applyAlignment="1">
      <alignment horizontal="left"/>
    </xf>
    <xf numFmtId="0" fontId="3" fillId="0" borderId="0" xfId="15" applyFill="1" applyAlignment="1">
      <alignment horizontal="right" wrapText="1"/>
    </xf>
    <xf numFmtId="0" fontId="3" fillId="0" borderId="0" xfId="15" applyFill="1" applyAlignment="1">
      <alignment horizontal="center"/>
    </xf>
    <xf numFmtId="0" fontId="3" fillId="0" borderId="0" xfId="15" applyFill="1" applyBorder="1" applyAlignment="1">
      <alignment horizontal="right" wrapText="1"/>
    </xf>
    <xf numFmtId="0" fontId="2" fillId="0" borderId="0" xfId="6" applyFill="1" applyBorder="1" applyAlignment="1">
      <alignment horizontal="left"/>
    </xf>
    <xf numFmtId="0" fontId="2" fillId="0" borderId="0" xfId="5" applyFill="1" applyAlignment="1">
      <alignment horizontal="center" wrapText="1"/>
    </xf>
    <xf numFmtId="0" fontId="2" fillId="0" borderId="0" xfId="5" applyFill="1" applyBorder="1" applyAlignment="1">
      <alignment horizontal="center" wrapText="1"/>
    </xf>
    <xf numFmtId="0" fontId="2" fillId="0" borderId="1" xfId="5" applyFill="1" applyBorder="1" applyAlignment="1">
      <alignment horizontal="center"/>
    </xf>
    <xf numFmtId="0" fontId="3" fillId="0" borderId="1" xfId="14" applyFill="1" applyBorder="1" applyAlignment="1">
      <alignment horizontal="center"/>
    </xf>
    <xf numFmtId="0" fontId="3" fillId="0" borderId="0" xfId="14" applyFill="1"/>
    <xf numFmtId="0" fontId="3" fillId="0" borderId="0" xfId="14" applyFill="1" applyBorder="1" applyAlignment="1">
      <alignment horizontal="center"/>
    </xf>
    <xf numFmtId="0" fontId="2" fillId="0" borderId="0" xfId="5" applyFill="1" applyAlignment="1">
      <alignment horizontal="left"/>
    </xf>
    <xf numFmtId="0" fontId="3" fillId="0" borderId="0" xfId="14" applyFill="1" applyAlignment="1">
      <alignment horizontal="left"/>
    </xf>
    <xf numFmtId="0" fontId="3" fillId="0" borderId="0" xfId="14" applyFill="1" applyAlignment="1">
      <alignment horizontal="right" wrapText="1"/>
    </xf>
    <xf numFmtId="0" fontId="3" fillId="0" borderId="0" xfId="14" applyFill="1" applyAlignment="1">
      <alignment horizontal="center"/>
    </xf>
    <xf numFmtId="0" fontId="3" fillId="0" borderId="0" xfId="14" applyFill="1" applyBorder="1" applyAlignment="1">
      <alignment horizontal="right" wrapText="1"/>
    </xf>
    <xf numFmtId="39" fontId="3" fillId="0" borderId="0" xfId="14" applyNumberFormat="1" applyFill="1" applyAlignment="1">
      <alignment horizontal="right" wrapText="1"/>
    </xf>
    <xf numFmtId="39" fontId="3" fillId="0" borderId="0" xfId="14" applyNumberFormat="1" applyFill="1" applyBorder="1" applyAlignment="1">
      <alignment horizontal="right" wrapText="1"/>
    </xf>
    <xf numFmtId="0" fontId="2" fillId="0" borderId="0" xfId="5" applyFill="1" applyBorder="1" applyAlignment="1">
      <alignment horizontal="left"/>
    </xf>
    <xf numFmtId="0" fontId="2" fillId="0" borderId="0" xfId="4" applyFill="1" applyAlignment="1">
      <alignment horizontal="center" wrapText="1"/>
    </xf>
    <xf numFmtId="0" fontId="2" fillId="0" borderId="0" xfId="4" applyFill="1" applyBorder="1" applyAlignment="1">
      <alignment horizontal="center" wrapText="1"/>
    </xf>
    <xf numFmtId="0" fontId="2" fillId="0" borderId="1" xfId="4" applyFill="1" applyBorder="1" applyAlignment="1">
      <alignment horizontal="center"/>
    </xf>
    <xf numFmtId="0" fontId="3" fillId="0" borderId="1" xfId="13" applyFill="1" applyBorder="1" applyAlignment="1">
      <alignment horizontal="center"/>
    </xf>
    <xf numFmtId="0" fontId="3" fillId="0" borderId="0" xfId="13" applyFill="1"/>
    <xf numFmtId="0" fontId="3" fillId="0" borderId="0" xfId="13" applyFill="1" applyBorder="1" applyAlignment="1">
      <alignment horizontal="center"/>
    </xf>
    <xf numFmtId="0" fontId="2" fillId="0" borderId="0" xfId="4" applyFill="1" applyAlignment="1">
      <alignment horizontal="left"/>
    </xf>
    <xf numFmtId="0" fontId="3" fillId="0" borderId="0" xfId="13" applyFill="1" applyAlignment="1">
      <alignment horizontal="left"/>
    </xf>
    <xf numFmtId="0" fontId="3" fillId="0" borderId="0" xfId="13" applyFill="1" applyAlignment="1">
      <alignment horizontal="right" wrapText="1"/>
    </xf>
    <xf numFmtId="0" fontId="3" fillId="0" borderId="0" xfId="13" applyFill="1" applyAlignment="1">
      <alignment horizontal="center"/>
    </xf>
    <xf numFmtId="0" fontId="3" fillId="0" borderId="0" xfId="13" applyFill="1" applyBorder="1" applyAlignment="1">
      <alignment horizontal="right" wrapText="1"/>
    </xf>
    <xf numFmtId="0" fontId="2" fillId="0" borderId="0" xfId="3" applyFill="1" applyAlignment="1">
      <alignment horizontal="center" wrapText="1"/>
    </xf>
    <xf numFmtId="0" fontId="2" fillId="0" borderId="0" xfId="3" applyFill="1" applyBorder="1" applyAlignment="1">
      <alignment horizontal="center" wrapText="1"/>
    </xf>
    <xf numFmtId="0" fontId="2" fillId="0" borderId="1" xfId="3" applyFill="1" applyBorder="1" applyAlignment="1">
      <alignment horizontal="center"/>
    </xf>
    <xf numFmtId="0" fontId="3" fillId="0" borderId="1" xfId="12" applyFill="1" applyBorder="1" applyAlignment="1">
      <alignment horizontal="center"/>
    </xf>
    <xf numFmtId="0" fontId="3" fillId="0" borderId="0" xfId="12" applyFill="1"/>
    <xf numFmtId="0" fontId="3" fillId="0" borderId="0" xfId="12" applyFill="1" applyBorder="1" applyAlignment="1">
      <alignment horizontal="center"/>
    </xf>
    <xf numFmtId="0" fontId="2" fillId="0" borderId="0" xfId="3" applyFill="1" applyAlignment="1">
      <alignment horizontal="left"/>
    </xf>
    <xf numFmtId="0" fontId="3" fillId="0" borderId="0" xfId="12" applyFill="1" applyAlignment="1">
      <alignment horizontal="left"/>
    </xf>
    <xf numFmtId="0" fontId="3" fillId="0" borderId="0" xfId="12" applyFill="1" applyAlignment="1">
      <alignment horizontal="right" wrapText="1"/>
    </xf>
    <xf numFmtId="0" fontId="3" fillId="0" borderId="0" xfId="12" applyFill="1" applyAlignment="1">
      <alignment horizontal="center"/>
    </xf>
    <xf numFmtId="0" fontId="3" fillId="0" borderId="0" xfId="12" applyFill="1" applyBorder="1" applyAlignment="1">
      <alignment horizontal="right" wrapText="1"/>
    </xf>
    <xf numFmtId="0" fontId="2" fillId="0" borderId="0" xfId="3" applyFill="1" applyBorder="1" applyAlignment="1">
      <alignment horizontal="left"/>
    </xf>
    <xf numFmtId="0" fontId="5" fillId="0" borderId="1" xfId="20" applyBorder="1" applyAlignment="1">
      <alignment horizontal="center"/>
    </xf>
    <xf numFmtId="0" fontId="5" fillId="0" borderId="0" xfId="20" applyAlignment="1">
      <alignment horizontal="right" wrapText="1"/>
    </xf>
    <xf numFmtId="39" fontId="5" fillId="0" borderId="0" xfId="20" applyNumberFormat="1" applyAlignment="1">
      <alignment horizontal="right" wrapText="1"/>
    </xf>
    <xf numFmtId="39" fontId="5" fillId="0" borderId="1" xfId="20" applyNumberFormat="1" applyBorder="1" applyAlignment="1">
      <alignment horizontal="right" wrapText="1"/>
    </xf>
    <xf numFmtId="0" fontId="5" fillId="0" borderId="1" xfId="20" applyBorder="1" applyAlignment="1">
      <alignment horizontal="right" wrapText="1"/>
    </xf>
    <xf numFmtId="39" fontId="5" fillId="0" borderId="2" xfId="20" applyNumberFormat="1" applyBorder="1" applyAlignment="1">
      <alignment horizontal="right" wrapText="1"/>
    </xf>
    <xf numFmtId="0" fontId="5" fillId="0" borderId="1" xfId="21" applyBorder="1" applyAlignment="1">
      <alignment horizontal="center"/>
    </xf>
    <xf numFmtId="0" fontId="5" fillId="0" borderId="0" xfId="21" applyAlignment="1">
      <alignment horizontal="right" wrapText="1"/>
    </xf>
    <xf numFmtId="39" fontId="5" fillId="0" borderId="0" xfId="21" applyNumberFormat="1" applyAlignment="1">
      <alignment horizontal="right" wrapText="1"/>
    </xf>
    <xf numFmtId="39" fontId="5" fillId="0" borderId="1" xfId="21" applyNumberFormat="1" applyBorder="1" applyAlignment="1">
      <alignment horizontal="right" wrapText="1"/>
    </xf>
    <xf numFmtId="0" fontId="5" fillId="0" borderId="1" xfId="21" applyBorder="1" applyAlignment="1">
      <alignment horizontal="right" wrapText="1"/>
    </xf>
    <xf numFmtId="39" fontId="5" fillId="0" borderId="2" xfId="21" applyNumberFormat="1" applyBorder="1" applyAlignment="1">
      <alignment horizontal="right" wrapText="1"/>
    </xf>
    <xf numFmtId="0" fontId="5" fillId="0" borderId="1" xfId="22" applyBorder="1" applyAlignment="1">
      <alignment horizontal="center"/>
    </xf>
    <xf numFmtId="0" fontId="5" fillId="0" borderId="0" xfId="22" applyAlignment="1">
      <alignment horizontal="right" wrapText="1"/>
    </xf>
    <xf numFmtId="39" fontId="5" fillId="0" borderId="0" xfId="22" applyNumberFormat="1" applyAlignment="1">
      <alignment horizontal="right" wrapText="1"/>
    </xf>
    <xf numFmtId="39" fontId="5" fillId="0" borderId="1" xfId="22" applyNumberFormat="1" applyBorder="1" applyAlignment="1">
      <alignment horizontal="right" wrapText="1"/>
    </xf>
    <xf numFmtId="0" fontId="5" fillId="0" borderId="1" xfId="22" applyBorder="1" applyAlignment="1">
      <alignment horizontal="right" wrapText="1"/>
    </xf>
    <xf numFmtId="39" fontId="5" fillId="0" borderId="2" xfId="22" applyNumberFormat="1" applyBorder="1" applyAlignment="1">
      <alignment horizontal="right" wrapText="1"/>
    </xf>
    <xf numFmtId="0" fontId="5" fillId="0" borderId="1" xfId="23" applyBorder="1" applyAlignment="1">
      <alignment horizontal="center"/>
    </xf>
    <xf numFmtId="0" fontId="5" fillId="0" borderId="0" xfId="23" applyAlignment="1">
      <alignment horizontal="right" wrapText="1"/>
    </xf>
    <xf numFmtId="39" fontId="5" fillId="0" borderId="0" xfId="23" applyNumberFormat="1" applyAlignment="1">
      <alignment horizontal="right" wrapText="1"/>
    </xf>
    <xf numFmtId="39" fontId="5" fillId="0" borderId="1" xfId="23" applyNumberFormat="1" applyBorder="1" applyAlignment="1">
      <alignment horizontal="right" wrapText="1"/>
    </xf>
    <xf numFmtId="0" fontId="5" fillId="0" borderId="1" xfId="23" applyBorder="1" applyAlignment="1">
      <alignment horizontal="right" wrapText="1"/>
    </xf>
    <xf numFmtId="39" fontId="5" fillId="0" borderId="2" xfId="23" applyNumberFormat="1" applyBorder="1" applyAlignment="1">
      <alignment horizontal="right" wrapText="1"/>
    </xf>
    <xf numFmtId="0" fontId="5" fillId="0" borderId="1" xfId="24" applyBorder="1" applyAlignment="1">
      <alignment horizontal="center"/>
    </xf>
    <xf numFmtId="0" fontId="5" fillId="0" borderId="0" xfId="24" applyAlignment="1">
      <alignment horizontal="right" wrapText="1"/>
    </xf>
    <xf numFmtId="39" fontId="5" fillId="0" borderId="0" xfId="24" applyNumberFormat="1" applyAlignment="1">
      <alignment horizontal="right" wrapText="1"/>
    </xf>
    <xf numFmtId="0" fontId="5" fillId="0" borderId="1" xfId="24" applyBorder="1" applyAlignment="1">
      <alignment horizontal="right" wrapText="1"/>
    </xf>
    <xf numFmtId="39" fontId="5" fillId="0" borderId="1" xfId="24" applyNumberFormat="1" applyBorder="1" applyAlignment="1">
      <alignment horizontal="right" wrapText="1"/>
    </xf>
    <xf numFmtId="39" fontId="5" fillId="0" borderId="2" xfId="24" applyNumberFormat="1" applyBorder="1" applyAlignment="1">
      <alignment horizontal="right" wrapText="1"/>
    </xf>
    <xf numFmtId="0" fontId="5" fillId="0" borderId="1" xfId="25" applyBorder="1" applyAlignment="1">
      <alignment horizontal="center"/>
    </xf>
    <xf numFmtId="0" fontId="5" fillId="0" borderId="0" xfId="25" applyAlignment="1">
      <alignment horizontal="right" wrapText="1"/>
    </xf>
    <xf numFmtId="39" fontId="5" fillId="0" borderId="0" xfId="25" applyNumberFormat="1" applyAlignment="1">
      <alignment horizontal="right" wrapText="1"/>
    </xf>
    <xf numFmtId="39" fontId="5" fillId="0" borderId="1" xfId="25" applyNumberFormat="1" applyBorder="1" applyAlignment="1">
      <alignment horizontal="right" wrapText="1"/>
    </xf>
    <xf numFmtId="0" fontId="5" fillId="0" borderId="1" xfId="25" applyBorder="1" applyAlignment="1">
      <alignment horizontal="right" wrapText="1"/>
    </xf>
    <xf numFmtId="39" fontId="5" fillId="0" borderId="2" xfId="25" applyNumberFormat="1" applyBorder="1" applyAlignment="1">
      <alignment horizontal="right" wrapText="1"/>
    </xf>
    <xf numFmtId="0" fontId="5" fillId="0" borderId="1" xfId="26" applyBorder="1" applyAlignment="1">
      <alignment horizontal="center"/>
    </xf>
    <xf numFmtId="0" fontId="5" fillId="0" borderId="0" xfId="26" applyAlignment="1">
      <alignment horizontal="right" wrapText="1"/>
    </xf>
    <xf numFmtId="39" fontId="5" fillId="0" borderId="0" xfId="26" applyNumberFormat="1" applyAlignment="1">
      <alignment horizontal="right" wrapText="1"/>
    </xf>
    <xf numFmtId="39" fontId="5" fillId="0" borderId="1" xfId="26" applyNumberFormat="1" applyBorder="1" applyAlignment="1">
      <alignment horizontal="right" wrapText="1"/>
    </xf>
    <xf numFmtId="0" fontId="5" fillId="0" borderId="1" xfId="26" applyBorder="1" applyAlignment="1">
      <alignment horizontal="right" wrapText="1"/>
    </xf>
    <xf numFmtId="39" fontId="5" fillId="0" borderId="2" xfId="26" applyNumberFormat="1" applyBorder="1" applyAlignment="1">
      <alignment horizontal="right" wrapText="1"/>
    </xf>
    <xf numFmtId="0" fontId="5" fillId="0" borderId="1" xfId="27" applyBorder="1" applyAlignment="1">
      <alignment horizontal="center"/>
    </xf>
    <xf numFmtId="0" fontId="5" fillId="0" borderId="0" xfId="27" applyAlignment="1">
      <alignment horizontal="right" wrapText="1"/>
    </xf>
    <xf numFmtId="39" fontId="5" fillId="0" borderId="0" xfId="27" applyNumberFormat="1" applyAlignment="1">
      <alignment horizontal="right" wrapText="1"/>
    </xf>
    <xf numFmtId="39" fontId="5" fillId="0" borderId="1" xfId="27" applyNumberFormat="1" applyBorder="1" applyAlignment="1">
      <alignment horizontal="right" wrapText="1"/>
    </xf>
    <xf numFmtId="0" fontId="5" fillId="0" borderId="1" xfId="27" applyBorder="1" applyAlignment="1">
      <alignment horizontal="right" wrapText="1"/>
    </xf>
    <xf numFmtId="39" fontId="5" fillId="0" borderId="2" xfId="27" applyNumberFormat="1" applyBorder="1" applyAlignment="1">
      <alignment horizontal="right" wrapText="1"/>
    </xf>
    <xf numFmtId="0" fontId="5" fillId="0" borderId="0" xfId="21" applyAlignment="1">
      <alignment horizontal="left"/>
    </xf>
    <xf numFmtId="0" fontId="5" fillId="0" borderId="0" xfId="24" applyAlignment="1">
      <alignment horizontal="left"/>
    </xf>
    <xf numFmtId="39" fontId="5" fillId="0" borderId="0" xfId="25" applyNumberFormat="1" applyBorder="1" applyAlignment="1">
      <alignment horizontal="right" wrapText="1"/>
    </xf>
    <xf numFmtId="0" fontId="5" fillId="0" borderId="0" xfId="25" applyBorder="1" applyAlignment="1">
      <alignment horizontal="right" wrapText="1"/>
    </xf>
    <xf numFmtId="39" fontId="5" fillId="0" borderId="5" xfId="25" applyNumberFormat="1" applyBorder="1" applyAlignment="1">
      <alignment horizontal="right" wrapText="1"/>
    </xf>
    <xf numFmtId="39" fontId="5" fillId="0" borderId="5" xfId="26" applyNumberFormat="1" applyBorder="1" applyAlignment="1">
      <alignment horizontal="right" wrapText="1"/>
    </xf>
    <xf numFmtId="39" fontId="5" fillId="0" borderId="5" xfId="27" applyNumberFormat="1" applyBorder="1" applyAlignment="1">
      <alignment horizontal="right" wrapText="1"/>
    </xf>
    <xf numFmtId="39" fontId="5" fillId="0" borderId="5" xfId="20" applyNumberFormat="1" applyBorder="1" applyAlignment="1">
      <alignment horizontal="right" wrapText="1"/>
    </xf>
    <xf numFmtId="39" fontId="5" fillId="0" borderId="5" xfId="21" applyNumberFormat="1" applyBorder="1" applyAlignment="1">
      <alignment horizontal="right" wrapText="1"/>
    </xf>
    <xf numFmtId="39" fontId="5" fillId="0" borderId="5" xfId="22" applyNumberFormat="1" applyBorder="1" applyAlignment="1">
      <alignment horizontal="right" wrapText="1"/>
    </xf>
    <xf numFmtId="39" fontId="5" fillId="0" borderId="5" xfId="23" applyNumberFormat="1" applyBorder="1" applyAlignment="1">
      <alignment horizontal="right" wrapText="1"/>
    </xf>
    <xf numFmtId="39" fontId="5" fillId="0" borderId="5" xfId="24" applyNumberFormat="1" applyBorder="1" applyAlignment="1">
      <alignment horizontal="right" wrapText="1"/>
    </xf>
    <xf numFmtId="39" fontId="5" fillId="0" borderId="4" xfId="26" applyNumberFormat="1" applyBorder="1" applyAlignment="1">
      <alignment horizontal="right" wrapText="1"/>
    </xf>
    <xf numFmtId="0" fontId="2" fillId="0" borderId="0" xfId="8" applyFill="1" applyAlignment="1">
      <alignment horizontal="center" wrapText="1"/>
    </xf>
    <xf numFmtId="0" fontId="5" fillId="0" borderId="0" xfId="20" applyAlignment="1">
      <alignment horizontal="center"/>
    </xf>
    <xf numFmtId="0" fontId="5" fillId="0" borderId="0" xfId="20" applyAlignment="1">
      <alignment horizontal="left"/>
    </xf>
    <xf numFmtId="0" fontId="5" fillId="0" borderId="0" xfId="21" applyAlignment="1">
      <alignment horizontal="center"/>
    </xf>
    <xf numFmtId="0" fontId="2" fillId="0" borderId="1" xfId="11" applyFont="1" applyFill="1" applyBorder="1" applyAlignment="1">
      <alignment horizontal="center"/>
    </xf>
    <xf numFmtId="0" fontId="5" fillId="0" borderId="0" xfId="22" applyAlignment="1">
      <alignment horizontal="left"/>
    </xf>
    <xf numFmtId="0" fontId="5" fillId="0" borderId="0" xfId="22" applyAlignment="1">
      <alignment horizontal="center"/>
    </xf>
    <xf numFmtId="0" fontId="5" fillId="0" borderId="0" xfId="23" applyAlignment="1">
      <alignment horizontal="left"/>
    </xf>
    <xf numFmtId="0" fontId="5" fillId="0" borderId="0" xfId="23" applyAlignment="1">
      <alignment horizontal="center"/>
    </xf>
    <xf numFmtId="0" fontId="5" fillId="0" borderId="0" xfId="24" applyAlignment="1">
      <alignment horizontal="center"/>
    </xf>
    <xf numFmtId="0" fontId="5" fillId="0" borderId="0" xfId="25" applyAlignment="1">
      <alignment horizontal="left"/>
    </xf>
    <xf numFmtId="0" fontId="5" fillId="0" borderId="0" xfId="25" applyAlignment="1">
      <alignment horizontal="center"/>
    </xf>
    <xf numFmtId="0" fontId="5" fillId="0" borderId="0" xfId="26" applyAlignment="1">
      <alignment horizontal="left"/>
    </xf>
    <xf numFmtId="0" fontId="5" fillId="0" borderId="0" xfId="26" applyAlignment="1">
      <alignment horizontal="center"/>
    </xf>
    <xf numFmtId="0" fontId="5" fillId="0" borderId="0" xfId="27" applyAlignment="1">
      <alignment horizontal="left"/>
    </xf>
    <xf numFmtId="0" fontId="5" fillId="0" borderId="0" xfId="27" applyAlignment="1">
      <alignment horizontal="center"/>
    </xf>
    <xf numFmtId="39" fontId="5" fillId="0" borderId="3" xfId="20" applyNumberFormat="1" applyBorder="1" applyAlignment="1">
      <alignment horizontal="right" wrapText="1"/>
    </xf>
    <xf numFmtId="39" fontId="5" fillId="0" borderId="0" xfId="22" applyNumberFormat="1" applyBorder="1" applyAlignment="1">
      <alignment horizontal="right" wrapText="1"/>
    </xf>
    <xf numFmtId="0" fontId="5" fillId="0" borderId="0" xfId="22" applyBorder="1" applyAlignment="1">
      <alignment horizontal="right" wrapText="1"/>
    </xf>
    <xf numFmtId="39" fontId="5" fillId="0" borderId="0" xfId="24" applyNumberFormat="1" applyBorder="1" applyAlignment="1">
      <alignment horizontal="right" wrapText="1"/>
    </xf>
    <xf numFmtId="0" fontId="5" fillId="0" borderId="0" xfId="24" applyBorder="1" applyAlignment="1">
      <alignment horizontal="right" wrapText="1"/>
    </xf>
    <xf numFmtId="39" fontId="5" fillId="0" borderId="3" xfId="23" applyNumberFormat="1" applyBorder="1" applyAlignment="1">
      <alignment horizontal="right" wrapText="1"/>
    </xf>
    <xf numFmtId="39" fontId="5" fillId="0" borderId="3" xfId="24" applyNumberFormat="1" applyBorder="1" applyAlignment="1">
      <alignment horizontal="right" wrapText="1"/>
    </xf>
    <xf numFmtId="39" fontId="5" fillId="0" borderId="3" xfId="25" applyNumberFormat="1" applyBorder="1" applyAlignment="1">
      <alignment horizontal="right" wrapText="1"/>
    </xf>
    <xf numFmtId="39" fontId="5" fillId="0" borderId="3" xfId="26" applyNumberFormat="1" applyBorder="1" applyAlignment="1">
      <alignment horizontal="right" wrapText="1"/>
    </xf>
    <xf numFmtId="39" fontId="3" fillId="0" borderId="3" xfId="18" applyNumberFormat="1" applyFill="1" applyBorder="1" applyAlignment="1">
      <alignment horizontal="right" wrapText="1"/>
    </xf>
    <xf numFmtId="0" fontId="2" fillId="0" borderId="0" xfId="17" applyFont="1" applyFill="1" applyAlignment="1">
      <alignment horizontal="left"/>
    </xf>
    <xf numFmtId="0" fontId="5" fillId="0" borderId="0" xfId="26" applyBorder="1" applyAlignment="1">
      <alignment horizontal="right" wrapText="1"/>
    </xf>
    <xf numFmtId="39" fontId="5" fillId="0" borderId="0" xfId="26" applyNumberFormat="1" applyBorder="1" applyAlignment="1">
      <alignment horizontal="right" wrapText="1"/>
    </xf>
    <xf numFmtId="0" fontId="5" fillId="0" borderId="0" xfId="20" applyFill="1" applyAlignment="1">
      <alignment horizontal="left"/>
    </xf>
    <xf numFmtId="39" fontId="5" fillId="0" borderId="0" xfId="20" applyNumberFormat="1" applyFill="1" applyAlignment="1">
      <alignment horizontal="right" wrapText="1"/>
    </xf>
    <xf numFmtId="0" fontId="5" fillId="0" borderId="0" xfId="20" applyFill="1" applyAlignment="1">
      <alignment horizontal="center"/>
    </xf>
    <xf numFmtId="0" fontId="2" fillId="0" borderId="0" xfId="4" applyFill="1" applyAlignment="1">
      <alignment horizontal="center" wrapText="1"/>
    </xf>
    <xf numFmtId="39" fontId="4" fillId="0" borderId="0" xfId="0" applyNumberFormat="1" applyFont="1" applyFill="1" applyBorder="1"/>
    <xf numFmtId="0" fontId="2" fillId="0" borderId="0" xfId="4" applyFill="1" applyAlignment="1">
      <alignment horizontal="center" wrapText="1"/>
    </xf>
    <xf numFmtId="39" fontId="5" fillId="0" borderId="0" xfId="23" applyNumberFormat="1" applyBorder="1" applyAlignment="1">
      <alignment horizontal="right" wrapText="1"/>
    </xf>
    <xf numFmtId="0" fontId="5" fillId="0" borderId="3" xfId="26" applyBorder="1" applyAlignment="1">
      <alignment horizontal="right" wrapText="1"/>
    </xf>
    <xf numFmtId="0" fontId="2" fillId="0" borderId="0" xfId="4" applyFill="1" applyAlignment="1">
      <alignment horizontal="center" wrapText="1"/>
    </xf>
    <xf numFmtId="43" fontId="4" fillId="0" borderId="3" xfId="1" applyFont="1" applyFill="1" applyBorder="1"/>
    <xf numFmtId="0" fontId="2" fillId="0" borderId="0" xfId="4" applyFill="1" applyAlignment="1">
      <alignment horizontal="center" wrapText="1"/>
    </xf>
    <xf numFmtId="39" fontId="3" fillId="0" borderId="3" xfId="11" applyNumberFormat="1" applyFill="1" applyBorder="1" applyAlignment="1">
      <alignment horizontal="right" wrapText="1"/>
    </xf>
    <xf numFmtId="0" fontId="2" fillId="0" borderId="0" xfId="4" applyFill="1" applyAlignment="1">
      <alignment horizontal="center" wrapText="1"/>
    </xf>
    <xf numFmtId="0" fontId="5" fillId="0" borderId="3" xfId="20" applyBorder="1" applyAlignment="1">
      <alignment horizontal="right" wrapText="1"/>
    </xf>
    <xf numFmtId="0" fontId="5" fillId="0" borderId="3" xfId="22" applyBorder="1" applyAlignment="1">
      <alignment horizontal="right" wrapText="1"/>
    </xf>
    <xf numFmtId="40" fontId="6" fillId="4" borderId="0" xfId="30" applyNumberFormat="1" applyFont="1" applyAlignment="1">
      <alignment horizontal="center" wrapText="1"/>
    </xf>
    <xf numFmtId="40" fontId="6" fillId="4" borderId="1" xfId="30" applyNumberFormat="1" applyFont="1" applyBorder="1" applyAlignment="1">
      <alignment horizontal="center"/>
    </xf>
    <xf numFmtId="40" fontId="1" fillId="4" borderId="0" xfId="30" applyNumberFormat="1" applyAlignment="1">
      <alignment horizontal="right" wrapText="1"/>
    </xf>
    <xf numFmtId="40" fontId="1" fillId="4" borderId="1" xfId="30" applyNumberFormat="1" applyBorder="1" applyAlignment="1">
      <alignment horizontal="right" wrapText="1"/>
    </xf>
    <xf numFmtId="40" fontId="1" fillId="4" borderId="5" xfId="30" applyNumberFormat="1" applyBorder="1" applyAlignment="1">
      <alignment horizontal="right" wrapText="1"/>
    </xf>
    <xf numFmtId="40" fontId="1" fillId="4" borderId="2" xfId="30" applyNumberFormat="1" applyBorder="1" applyAlignment="1">
      <alignment horizontal="right" wrapText="1"/>
    </xf>
    <xf numFmtId="40" fontId="1" fillId="4" borderId="0" xfId="30" applyNumberFormat="1"/>
    <xf numFmtId="40" fontId="1" fillId="4" borderId="0" xfId="30" applyNumberFormat="1" applyAlignment="1">
      <alignment horizontal="center" wrapText="1"/>
    </xf>
    <xf numFmtId="40" fontId="6" fillId="3" borderId="0" xfId="29" applyNumberFormat="1" applyFont="1" applyAlignment="1">
      <alignment horizontal="center"/>
    </xf>
    <xf numFmtId="40" fontId="6" fillId="3" borderId="1" xfId="29" applyNumberFormat="1" applyFont="1" applyBorder="1" applyAlignment="1">
      <alignment horizontal="center"/>
    </xf>
    <xf numFmtId="40" fontId="1" fillId="3" borderId="0" xfId="29" applyNumberFormat="1" applyAlignment="1">
      <alignment horizontal="right" wrapText="1"/>
    </xf>
    <xf numFmtId="40" fontId="1" fillId="3" borderId="1" xfId="29" applyNumberFormat="1" applyBorder="1" applyAlignment="1">
      <alignment horizontal="right" wrapText="1"/>
    </xf>
    <xf numFmtId="40" fontId="1" fillId="3" borderId="0" xfId="29" applyNumberFormat="1" applyBorder="1" applyAlignment="1">
      <alignment horizontal="right" wrapText="1"/>
    </xf>
    <xf numFmtId="40" fontId="1" fillId="3" borderId="3" xfId="29" applyNumberFormat="1" applyBorder="1" applyAlignment="1">
      <alignment horizontal="right" wrapText="1"/>
    </xf>
    <xf numFmtId="40" fontId="1" fillId="3" borderId="2" xfId="29" applyNumberFormat="1" applyBorder="1" applyAlignment="1">
      <alignment horizontal="right" wrapText="1"/>
    </xf>
    <xf numFmtId="40" fontId="1" fillId="3" borderId="0" xfId="29" applyNumberFormat="1"/>
    <xf numFmtId="40" fontId="6" fillId="4" borderId="0" xfId="30" applyNumberFormat="1" applyFont="1" applyAlignment="1">
      <alignment horizontal="center"/>
    </xf>
    <xf numFmtId="40" fontId="1" fillId="4" borderId="0" xfId="30" applyNumberFormat="1" applyBorder="1" applyAlignment="1">
      <alignment horizontal="right" wrapText="1"/>
    </xf>
    <xf numFmtId="40" fontId="1" fillId="4" borderId="3" xfId="30" applyNumberFormat="1" applyBorder="1" applyAlignment="1">
      <alignment horizontal="right" wrapText="1"/>
    </xf>
    <xf numFmtId="40" fontId="1" fillId="2" borderId="0" xfId="28" applyNumberFormat="1" applyAlignment="1">
      <alignment horizontal="center" wrapText="1"/>
    </xf>
    <xf numFmtId="40" fontId="1" fillId="2" borderId="1" xfId="28" applyNumberFormat="1" applyBorder="1" applyAlignment="1">
      <alignment horizontal="center"/>
    </xf>
    <xf numFmtId="40" fontId="1" fillId="2" borderId="0" xfId="28" applyNumberFormat="1" applyAlignment="1">
      <alignment horizontal="right" wrapText="1"/>
    </xf>
    <xf numFmtId="40" fontId="1" fillId="2" borderId="1" xfId="28" applyNumberFormat="1" applyBorder="1" applyAlignment="1">
      <alignment horizontal="right" wrapText="1"/>
    </xf>
    <xf numFmtId="40" fontId="1" fillId="2" borderId="5" xfId="28" applyNumberFormat="1" applyBorder="1" applyAlignment="1">
      <alignment horizontal="right" wrapText="1"/>
    </xf>
    <xf numFmtId="40" fontId="1" fillId="2" borderId="2" xfId="28" applyNumberFormat="1" applyBorder="1" applyAlignment="1">
      <alignment horizontal="right" wrapText="1"/>
    </xf>
    <xf numFmtId="40" fontId="1" fillId="2" borderId="0" xfId="28" applyNumberFormat="1"/>
    <xf numFmtId="40" fontId="6" fillId="2" borderId="1" xfId="28" applyNumberFormat="1" applyFont="1" applyBorder="1" applyAlignment="1">
      <alignment horizontal="center"/>
    </xf>
    <xf numFmtId="39" fontId="5" fillId="5" borderId="1" xfId="22" applyNumberFormat="1" applyFill="1" applyBorder="1" applyAlignment="1">
      <alignment horizontal="right" wrapText="1"/>
    </xf>
    <xf numFmtId="39" fontId="5" fillId="5" borderId="1" xfId="20" applyNumberFormat="1" applyFill="1" applyBorder="1" applyAlignment="1">
      <alignment horizontal="right" wrapText="1"/>
    </xf>
    <xf numFmtId="39" fontId="5" fillId="5" borderId="1" xfId="21" applyNumberFormat="1" applyFill="1" applyBorder="1" applyAlignment="1">
      <alignment horizontal="right" wrapText="1"/>
    </xf>
    <xf numFmtId="40" fontId="1" fillId="2" borderId="0" xfId="28" applyNumberFormat="1" applyAlignment="1">
      <alignment horizontal="center"/>
    </xf>
    <xf numFmtId="40" fontId="1" fillId="2" borderId="0" xfId="28" applyNumberFormat="1" applyBorder="1" applyAlignment="1">
      <alignment horizontal="right" wrapText="1"/>
    </xf>
    <xf numFmtId="40" fontId="1" fillId="2" borderId="3" xfId="28" applyNumberFormat="1" applyBorder="1" applyAlignment="1">
      <alignment horizontal="right" wrapText="1"/>
    </xf>
    <xf numFmtId="40" fontId="1" fillId="3" borderId="0" xfId="29" applyNumberFormat="1" applyAlignment="1">
      <alignment horizontal="center"/>
    </xf>
    <xf numFmtId="40" fontId="1" fillId="3" borderId="1" xfId="29" applyNumberFormat="1" applyBorder="1" applyAlignment="1">
      <alignment horizontal="center"/>
    </xf>
    <xf numFmtId="40" fontId="1" fillId="4" borderId="1" xfId="30" applyNumberFormat="1" applyBorder="1" applyAlignment="1">
      <alignment horizontal="center"/>
    </xf>
    <xf numFmtId="40" fontId="1" fillId="4" borderId="0" xfId="30" applyNumberFormat="1" applyAlignment="1">
      <alignment horizontal="center"/>
    </xf>
    <xf numFmtId="0" fontId="0" fillId="0" borderId="0" xfId="0" applyAlignment="1">
      <alignment wrapText="1"/>
    </xf>
    <xf numFmtId="38" fontId="0" fillId="0" borderId="0" xfId="0" applyNumberFormat="1" applyAlignment="1">
      <alignment wrapText="1"/>
    </xf>
    <xf numFmtId="0" fontId="0" fillId="0" borderId="0" xfId="0" applyAlignment="1">
      <alignment horizontal="center"/>
    </xf>
    <xf numFmtId="43" fontId="0" fillId="0" borderId="0" xfId="1" applyFont="1"/>
    <xf numFmtId="38" fontId="0" fillId="0" borderId="6" xfId="0" applyNumberFormat="1" applyBorder="1" applyAlignment="1">
      <alignment horizontal="center" wrapText="1"/>
    </xf>
    <xf numFmtId="38" fontId="0" fillId="0" borderId="7" xfId="0" applyNumberFormat="1" applyBorder="1" applyAlignment="1">
      <alignment horizontal="center" wrapText="1"/>
    </xf>
    <xf numFmtId="38" fontId="0" fillId="0" borderId="9" xfId="0" applyNumberFormat="1" applyBorder="1" applyAlignment="1">
      <alignment wrapText="1"/>
    </xf>
    <xf numFmtId="38" fontId="0" fillId="0" borderId="0" xfId="0" applyNumberFormat="1" applyBorder="1" applyAlignment="1">
      <alignment wrapText="1"/>
    </xf>
    <xf numFmtId="9" fontId="0" fillId="0" borderId="0" xfId="19" applyFont="1" applyBorder="1" applyAlignment="1">
      <alignment wrapText="1"/>
    </xf>
    <xf numFmtId="43" fontId="0" fillId="0" borderId="0" xfId="1" applyFont="1" applyBorder="1"/>
    <xf numFmtId="38" fontId="0" fillId="0" borderId="11" xfId="0" applyNumberFormat="1" applyBorder="1" applyAlignment="1">
      <alignment wrapText="1"/>
    </xf>
    <xf numFmtId="38" fontId="0" fillId="0" borderId="12" xfId="0" applyNumberFormat="1" applyBorder="1" applyAlignment="1">
      <alignment wrapText="1"/>
    </xf>
    <xf numFmtId="9" fontId="0" fillId="0" borderId="12" xfId="19" applyFont="1" applyBorder="1" applyAlignment="1">
      <alignment wrapText="1"/>
    </xf>
    <xf numFmtId="43" fontId="0" fillId="0" borderId="12" xfId="1" applyFont="1" applyBorder="1"/>
    <xf numFmtId="9" fontId="0" fillId="0" borderId="0" xfId="19" applyNumberFormat="1" applyFont="1" applyAlignment="1">
      <alignment wrapText="1"/>
    </xf>
    <xf numFmtId="0" fontId="2" fillId="0" borderId="0" xfId="10" applyFill="1" applyAlignment="1">
      <alignment horizontal="center" wrapText="1"/>
    </xf>
    <xf numFmtId="0" fontId="2" fillId="0" borderId="0" xfId="3" applyFill="1" applyAlignment="1">
      <alignment horizontal="center" wrapText="1"/>
    </xf>
    <xf numFmtId="8" fontId="2" fillId="0" borderId="0" xfId="3" applyNumberFormat="1" applyFill="1" applyAlignment="1">
      <alignment horizontal="center" wrapText="1"/>
    </xf>
    <xf numFmtId="0" fontId="2" fillId="0" borderId="0" xfId="4" applyFill="1" applyAlignment="1">
      <alignment horizontal="center" wrapText="1"/>
    </xf>
    <xf numFmtId="8" fontId="2" fillId="0" borderId="0" xfId="4" applyNumberFormat="1" applyFill="1" applyAlignment="1">
      <alignment horizontal="center" wrapText="1"/>
    </xf>
    <xf numFmtId="0" fontId="2" fillId="0" borderId="0" xfId="5" applyFill="1" applyAlignment="1">
      <alignment horizontal="center" wrapText="1"/>
    </xf>
    <xf numFmtId="0" fontId="2" fillId="0" borderId="0" xfId="6" applyFill="1" applyAlignment="1">
      <alignment horizontal="center" wrapText="1"/>
    </xf>
    <xf numFmtId="0" fontId="2" fillId="0" borderId="0" xfId="7" applyFill="1" applyAlignment="1">
      <alignment horizontal="center" wrapText="1"/>
    </xf>
    <xf numFmtId="0" fontId="2" fillId="0" borderId="0" xfId="8" applyFill="1" applyAlignment="1">
      <alignment horizontal="center" wrapText="1"/>
    </xf>
    <xf numFmtId="0" fontId="2" fillId="0" borderId="0" xfId="9" applyFill="1" applyAlignment="1">
      <alignment horizontal="center" wrapText="1"/>
    </xf>
    <xf numFmtId="38" fontId="0" fillId="0" borderId="8" xfId="0" applyNumberFormat="1" applyBorder="1" applyAlignment="1">
      <alignment horizontal="center" wrapText="1"/>
    </xf>
    <xf numFmtId="0" fontId="0" fillId="0" borderId="0" xfId="0" applyAlignment="1">
      <alignment horizontal="center" wrapText="1"/>
    </xf>
    <xf numFmtId="43" fontId="0" fillId="0" borderId="10" xfId="1" applyFont="1" applyBorder="1" applyAlignment="1">
      <alignment wrapText="1"/>
    </xf>
    <xf numFmtId="43" fontId="0" fillId="0" borderId="13" xfId="1" applyFont="1" applyBorder="1" applyAlignment="1">
      <alignment wrapText="1"/>
    </xf>
  </cellXfs>
  <cellStyles count="31">
    <cellStyle name="40% - Accent1" xfId="28" builtinId="31"/>
    <cellStyle name="40% - Accent2" xfId="29" builtinId="35"/>
    <cellStyle name="40% - Accent5" xfId="30" builtinId="47"/>
    <cellStyle name="Comma" xfId="1" builtinId="3"/>
    <cellStyle name="Normal" xfId="0" builtinId="0"/>
    <cellStyle name="Normal_Consolidated" xfId="10" xr:uid="{00000000-0005-0000-0000-000005000000}"/>
    <cellStyle name="Normal_Consolidated_1" xfId="20" xr:uid="{00000000-0005-0000-0000-000006000000}"/>
    <cellStyle name="Normal_Consolidated_2" xfId="11" xr:uid="{00000000-0005-0000-0000-000007000000}"/>
    <cellStyle name="Normal_KPFA" xfId="3" xr:uid="{00000000-0005-0000-0000-000008000000}"/>
    <cellStyle name="Normal_KPFA_1" xfId="12" xr:uid="{00000000-0005-0000-0000-000009000000}"/>
    <cellStyle name="Normal_KPFA_2" xfId="21" xr:uid="{00000000-0005-0000-0000-00000A000000}"/>
    <cellStyle name="Normal_KPFK" xfId="4" xr:uid="{00000000-0005-0000-0000-00000B000000}"/>
    <cellStyle name="Normal_KPFK_1" xfId="13" xr:uid="{00000000-0005-0000-0000-00000C000000}"/>
    <cellStyle name="Normal_KPFK_2" xfId="22" xr:uid="{00000000-0005-0000-0000-00000D000000}"/>
    <cellStyle name="Normal_KPFT" xfId="5" xr:uid="{00000000-0005-0000-0000-00000E000000}"/>
    <cellStyle name="Normal_KPFT_1" xfId="14" xr:uid="{00000000-0005-0000-0000-00000F000000}"/>
    <cellStyle name="Normal_KPFT_2" xfId="23" xr:uid="{00000000-0005-0000-0000-000010000000}"/>
    <cellStyle name="Normal_PNO" xfId="8" xr:uid="{00000000-0005-0000-0000-000011000000}"/>
    <cellStyle name="Normal_PNO_1" xfId="17" xr:uid="{00000000-0005-0000-0000-000012000000}"/>
    <cellStyle name="Normal_PNO_2" xfId="26" xr:uid="{00000000-0005-0000-0000-000013000000}"/>
    <cellStyle name="Normal_PRA" xfId="9" xr:uid="{00000000-0005-0000-0000-000014000000}"/>
    <cellStyle name="Normal_PRA_1" xfId="18" xr:uid="{00000000-0005-0000-0000-000015000000}"/>
    <cellStyle name="Normal_PRA_2" xfId="27" xr:uid="{00000000-0005-0000-0000-000016000000}"/>
    <cellStyle name="Normal_Sheet1" xfId="2" xr:uid="{00000000-0005-0000-0000-000017000000}"/>
    <cellStyle name="Normal_WBAI" xfId="6" xr:uid="{00000000-0005-0000-0000-000018000000}"/>
    <cellStyle name="Normal_WBAI_1" xfId="15" xr:uid="{00000000-0005-0000-0000-000019000000}"/>
    <cellStyle name="Normal_WBAI_2" xfId="24" xr:uid="{00000000-0005-0000-0000-00001A000000}"/>
    <cellStyle name="Normal_WPFW" xfId="7" xr:uid="{00000000-0005-0000-0000-00001B000000}"/>
    <cellStyle name="Normal_WPFW_1" xfId="16" xr:uid="{00000000-0005-0000-0000-00001C000000}"/>
    <cellStyle name="Normal_WPFW_2" xfId="25" xr:uid="{00000000-0005-0000-0000-00001D000000}"/>
    <cellStyle name="Percent" xfId="19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Staff Productivity YTD</a:t>
            </a:r>
            <a:r>
              <a:rPr lang="en-US" baseline="0"/>
              <a:t> 2021</a:t>
            </a:r>
            <a:endParaRPr lang="en-US"/>
          </a:p>
          <a:p>
            <a:pPr>
              <a:defRPr/>
            </a:pPr>
            <a:r>
              <a:rPr lang="en-US"/>
              <a:t>Ratio of Total Revenue / Personnel</a:t>
            </a:r>
            <a:r>
              <a:rPr lang="en-US" baseline="0"/>
              <a:t> Costs</a:t>
            </a:r>
            <a:endParaRPr lang="en-US"/>
          </a:p>
        </c:rich>
      </c:tx>
      <c:layout>
        <c:manualLayout>
          <c:xMode val="edge"/>
          <c:yMode val="edge"/>
          <c:x val="0.13727077865266843"/>
          <c:y val="4.62962962962962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Calcs!$A$10:$A$14</c:f>
              <c:strCache>
                <c:ptCount val="5"/>
                <c:pt idx="0">
                  <c:v>KPFT</c:v>
                </c:pt>
                <c:pt idx="1">
                  <c:v>WPFW</c:v>
                </c:pt>
                <c:pt idx="2">
                  <c:v>WBAI</c:v>
                </c:pt>
                <c:pt idx="3">
                  <c:v>KPFA</c:v>
                </c:pt>
                <c:pt idx="4">
                  <c:v>KPFK</c:v>
                </c:pt>
              </c:strCache>
            </c:strRef>
          </c:cat>
          <c:val>
            <c:numRef>
              <c:f>Calcs!$E$10:$E$14</c:f>
              <c:numCache>
                <c:formatCode>_(* #,##0.00_);_(* \(#,##0.00\);_(* "-"??_);_(@_)</c:formatCode>
                <c:ptCount val="5"/>
                <c:pt idx="0">
                  <c:v>3.1337818741982297</c:v>
                </c:pt>
                <c:pt idx="1">
                  <c:v>3.2016028894964115</c:v>
                </c:pt>
                <c:pt idx="2">
                  <c:v>2.2520756080623494</c:v>
                </c:pt>
                <c:pt idx="3">
                  <c:v>1.9872368695945175</c:v>
                </c:pt>
                <c:pt idx="4">
                  <c:v>1.7865374271068222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72-402B-B9AD-30BAF547B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4300384"/>
        <c:axId val="504305960"/>
      </c:barChart>
      <c:catAx>
        <c:axId val="504300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3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4305960"/>
        <c:crosses val="autoZero"/>
        <c:auto val="1"/>
        <c:lblAlgn val="ctr"/>
        <c:lblOffset val="100"/>
        <c:noMultiLvlLbl val="0"/>
      </c:catAx>
      <c:valAx>
        <c:axId val="504305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4300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Staff Productivity Fiscal Year 2020</a:t>
            </a:r>
          </a:p>
          <a:p>
            <a:pPr>
              <a:defRPr/>
            </a:pPr>
            <a:r>
              <a:rPr lang="en-US"/>
              <a:t>Ratio</a:t>
            </a:r>
            <a:r>
              <a:rPr lang="en-US" baseline="0"/>
              <a:t> of</a:t>
            </a:r>
            <a:r>
              <a:rPr lang="en-US"/>
              <a:t> Total Revenue / Personnel</a:t>
            </a:r>
            <a:r>
              <a:rPr lang="en-US" baseline="0"/>
              <a:t> Costs</a:t>
            </a:r>
            <a:endParaRPr lang="en-US"/>
          </a:p>
        </c:rich>
      </c:tx>
      <c:layout>
        <c:manualLayout>
          <c:xMode val="edge"/>
          <c:yMode val="edge"/>
          <c:x val="0.13727077865266843"/>
          <c:y val="4.62962962962962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Calcs!$B$16</c:f>
              <c:strCache>
                <c:ptCount val="1"/>
                <c:pt idx="0">
                  <c:v>RATIO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Calcs!$A$2:$A$6</c:f>
              <c:strCache>
                <c:ptCount val="5"/>
                <c:pt idx="0">
                  <c:v>KPFT</c:v>
                </c:pt>
                <c:pt idx="1">
                  <c:v>WBAI</c:v>
                </c:pt>
                <c:pt idx="2">
                  <c:v>WPFW</c:v>
                </c:pt>
                <c:pt idx="3">
                  <c:v>KPFA</c:v>
                </c:pt>
                <c:pt idx="4">
                  <c:v>KPFK</c:v>
                </c:pt>
              </c:strCache>
            </c:strRef>
          </c:cat>
          <c:val>
            <c:numRef>
              <c:f>Calcs!$E$2:$E$6</c:f>
              <c:numCache>
                <c:formatCode>_(* #,##0.00_);_(* \(#,##0.00\);_(* "-"??_);_(@_)</c:formatCode>
                <c:ptCount val="5"/>
                <c:pt idx="0">
                  <c:v>2.851839153733212</c:v>
                </c:pt>
                <c:pt idx="1">
                  <c:v>2.1802386120717254</c:v>
                </c:pt>
                <c:pt idx="2">
                  <c:v>2.0235680831124521</c:v>
                </c:pt>
                <c:pt idx="3">
                  <c:v>1.5428100144498718</c:v>
                </c:pt>
                <c:pt idx="4">
                  <c:v>1.3333914438039818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B8-42C6-A2B7-A64A9266B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4300384"/>
        <c:axId val="504305960"/>
      </c:barChart>
      <c:catAx>
        <c:axId val="504300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accent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3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4305960"/>
        <c:crosses val="autoZero"/>
        <c:auto val="1"/>
        <c:lblAlgn val="ctr"/>
        <c:lblOffset val="100"/>
        <c:noMultiLvlLbl val="0"/>
      </c:catAx>
      <c:valAx>
        <c:axId val="504305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 w="15875">
            <a:solidFill>
              <a:schemeClr val="accent5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4300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9050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133350</xdr:colOff>
      <xdr:row>8</xdr:row>
      <xdr:rowOff>21777</xdr:rowOff>
    </xdr:from>
    <xdr:to>
      <xdr:col>12</xdr:col>
      <xdr:colOff>133350</xdr:colOff>
      <xdr:row>21</xdr:row>
      <xdr:rowOff>163291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186EAD0-241C-49D2-B87D-D6EF4310B9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17</xdr:row>
      <xdr:rowOff>0</xdr:rowOff>
    </xdr:from>
    <xdr:to>
      <xdr:col>5</xdr:col>
      <xdr:colOff>96051</xdr:colOff>
      <xdr:row>31</xdr:row>
      <xdr:rowOff>154321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BEC7D5E-E5C8-4518-8EFD-67CCA6C7CF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92"/>
  <sheetViews>
    <sheetView topLeftCell="B1" zoomScale="90" zoomScaleNormal="90" workbookViewId="0">
      <pane xSplit="1" ySplit="6" topLeftCell="P7" activePane="bottomRight" state="frozen"/>
      <selection activeCell="B1" sqref="B1"/>
      <selection pane="topRight" activeCell="C1" sqref="C1"/>
      <selection pane="bottomLeft" activeCell="B7" sqref="B7"/>
      <selection pane="bottomRight" activeCell="Z13" sqref="Z13"/>
    </sheetView>
  </sheetViews>
  <sheetFormatPr defaultColWidth="9.15234375" defaultRowHeight="14.6" x14ac:dyDescent="0.4"/>
  <cols>
    <col min="1" max="1" width="0" style="2" hidden="1" customWidth="1"/>
    <col min="2" max="2" width="25.84375" style="2" bestFit="1" customWidth="1"/>
    <col min="3" max="3" width="14.15234375" style="260" bestFit="1" customWidth="1"/>
    <col min="4" max="4" width="13" style="241" bestFit="1" customWidth="1"/>
    <col min="5" max="5" width="4.69140625" style="2" customWidth="1"/>
    <col min="6" max="17" width="9.15234375" style="2" customWidth="1"/>
    <col min="18" max="18" width="14.15234375" style="241" bestFit="1" customWidth="1"/>
    <col min="19" max="19" width="5" style="37" customWidth="1"/>
    <col min="20" max="20" width="9.15234375" style="37" bestFit="1" customWidth="1"/>
    <col min="21" max="25" width="9.15234375" style="37" customWidth="1"/>
    <col min="26" max="26" width="13" style="250" bestFit="1" customWidth="1"/>
    <col min="27" max="27" width="4.3046875" style="2" customWidth="1"/>
    <col min="28" max="28" width="13" style="241" bestFit="1" customWidth="1"/>
    <col min="29" max="29" width="10.69140625" style="2" bestFit="1" customWidth="1"/>
    <col min="30" max="16384" width="9.15234375" style="2"/>
  </cols>
  <sheetData>
    <row r="1" spans="1:30" ht="15" customHeight="1" x14ac:dyDescent="0.4">
      <c r="A1" s="287" t="s">
        <v>237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  <c r="Q1" s="287"/>
      <c r="R1" s="287"/>
      <c r="S1" s="287"/>
      <c r="T1" s="287"/>
      <c r="U1" s="287"/>
      <c r="V1" s="287"/>
      <c r="W1" s="287"/>
      <c r="X1" s="287"/>
      <c r="Y1" s="287"/>
      <c r="Z1" s="287"/>
      <c r="AA1" s="287"/>
      <c r="AB1" s="287"/>
      <c r="AC1" s="287"/>
      <c r="AD1" s="287"/>
    </row>
    <row r="2" spans="1:30" ht="15" customHeight="1" x14ac:dyDescent="0.4">
      <c r="A2" s="287" t="s">
        <v>0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  <c r="Q2" s="287"/>
      <c r="R2" s="287"/>
      <c r="S2" s="287"/>
      <c r="T2" s="287"/>
      <c r="U2" s="287"/>
      <c r="V2" s="287"/>
      <c r="W2" s="287"/>
      <c r="X2" s="287"/>
      <c r="Y2" s="287"/>
      <c r="Z2" s="287"/>
      <c r="AA2" s="287"/>
      <c r="AB2" s="287"/>
      <c r="AC2" s="287"/>
      <c r="AD2" s="287"/>
    </row>
    <row r="3" spans="1:30" ht="15" customHeight="1" x14ac:dyDescent="0.4">
      <c r="A3" s="287" t="s">
        <v>248</v>
      </c>
      <c r="B3" s="287"/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7"/>
      <c r="N3" s="287"/>
      <c r="O3" s="287"/>
      <c r="P3" s="287"/>
      <c r="Q3" s="287"/>
      <c r="R3" s="287"/>
      <c r="S3" s="287"/>
      <c r="T3" s="287"/>
      <c r="U3" s="287"/>
      <c r="V3" s="287"/>
      <c r="W3" s="287"/>
      <c r="X3" s="287"/>
      <c r="Y3" s="287"/>
      <c r="Z3" s="287"/>
      <c r="AA3" s="287"/>
      <c r="AB3" s="287"/>
      <c r="AC3" s="287"/>
      <c r="AD3" s="287"/>
    </row>
    <row r="4" spans="1:30" ht="15" customHeight="1" x14ac:dyDescent="0.4">
      <c r="A4" s="26"/>
      <c r="B4" s="26"/>
      <c r="C4" s="254"/>
      <c r="D4" s="235" t="s">
        <v>235</v>
      </c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42"/>
      <c r="S4" s="27"/>
      <c r="T4" s="27"/>
      <c r="U4" s="27"/>
      <c r="V4" s="27"/>
      <c r="W4" s="27"/>
      <c r="X4" s="27"/>
      <c r="Y4" s="27"/>
      <c r="Z4" s="243" t="s">
        <v>250</v>
      </c>
      <c r="AB4" s="251" t="s">
        <v>242</v>
      </c>
    </row>
    <row r="5" spans="1:30" ht="15" customHeight="1" x14ac:dyDescent="0.4">
      <c r="A5" s="28" t="s">
        <v>1</v>
      </c>
      <c r="B5" s="29" t="s">
        <v>2</v>
      </c>
      <c r="C5" s="261" t="s">
        <v>235</v>
      </c>
      <c r="D5" s="236" t="s">
        <v>3</v>
      </c>
      <c r="E5" s="30"/>
      <c r="F5" s="29" t="s">
        <v>4</v>
      </c>
      <c r="G5" s="29" t="s">
        <v>5</v>
      </c>
      <c r="H5" s="29" t="s">
        <v>6</v>
      </c>
      <c r="I5" s="29" t="s">
        <v>7</v>
      </c>
      <c r="J5" s="29" t="s">
        <v>8</v>
      </c>
      <c r="K5" s="29" t="s">
        <v>9</v>
      </c>
      <c r="L5" s="29" t="s">
        <v>10</v>
      </c>
      <c r="M5" s="29" t="s">
        <v>11</v>
      </c>
      <c r="N5" s="29" t="s">
        <v>12</v>
      </c>
      <c r="O5" s="29" t="s">
        <v>13</v>
      </c>
      <c r="P5" s="29" t="s">
        <v>14</v>
      </c>
      <c r="Q5" s="29" t="s">
        <v>15</v>
      </c>
      <c r="R5" s="236" t="s">
        <v>242</v>
      </c>
      <c r="S5" s="31"/>
      <c r="T5" s="130" t="s">
        <v>16</v>
      </c>
      <c r="U5" s="130" t="s">
        <v>244</v>
      </c>
      <c r="V5" s="130" t="s">
        <v>245</v>
      </c>
      <c r="W5" s="130" t="s">
        <v>246</v>
      </c>
      <c r="X5" s="130" t="s">
        <v>247</v>
      </c>
      <c r="Y5" s="130" t="s">
        <v>249</v>
      </c>
      <c r="Z5" s="244" t="s">
        <v>17</v>
      </c>
      <c r="AA5" s="31"/>
      <c r="AB5" s="236" t="s">
        <v>238</v>
      </c>
      <c r="AC5" s="29" t="s">
        <v>240</v>
      </c>
      <c r="AD5" s="29" t="s">
        <v>239</v>
      </c>
    </row>
    <row r="6" spans="1:30" ht="15" customHeight="1" x14ac:dyDescent="0.4">
      <c r="A6" s="1"/>
      <c r="B6" s="32" t="s">
        <v>18</v>
      </c>
      <c r="C6" s="256"/>
      <c r="D6"/>
      <c r="E6" s="34" t="s">
        <v>19</v>
      </c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237"/>
      <c r="S6" s="35"/>
      <c r="T6" s="131"/>
      <c r="U6" s="131"/>
      <c r="V6" s="131"/>
      <c r="W6" s="131"/>
      <c r="X6" s="131"/>
      <c r="Y6" s="131"/>
      <c r="Z6" s="245"/>
      <c r="AA6" s="33"/>
    </row>
    <row r="7" spans="1:30" ht="15" customHeight="1" x14ac:dyDescent="0.4">
      <c r="A7" s="1"/>
      <c r="B7" s="32" t="s">
        <v>20</v>
      </c>
      <c r="C7" s="256"/>
      <c r="D7"/>
      <c r="E7" s="34" t="s">
        <v>19</v>
      </c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237"/>
      <c r="S7" s="35"/>
      <c r="T7" s="131"/>
      <c r="U7" s="131"/>
      <c r="V7" s="131"/>
      <c r="W7" s="131"/>
      <c r="X7" s="131"/>
      <c r="Y7" s="131"/>
      <c r="Z7" s="245"/>
      <c r="AA7" s="33"/>
    </row>
    <row r="8" spans="1:30" ht="15" customHeight="1" x14ac:dyDescent="0.4">
      <c r="A8" s="1" t="s">
        <v>21</v>
      </c>
      <c r="B8" s="193" t="s">
        <v>22</v>
      </c>
      <c r="C8" s="256">
        <v>7828050.79</v>
      </c>
      <c r="D8">
        <v>652337.5658333333</v>
      </c>
      <c r="E8" s="192" t="s">
        <v>19</v>
      </c>
      <c r="F8" s="132">
        <v>979433.46</v>
      </c>
      <c r="G8" s="132">
        <v>438857.58</v>
      </c>
      <c r="H8" s="132">
        <v>895908.37</v>
      </c>
      <c r="I8" s="132">
        <v>406160.82</v>
      </c>
      <c r="J8" s="132">
        <v>1047941.72</v>
      </c>
      <c r="K8" s="132">
        <v>510023.34</v>
      </c>
      <c r="L8" s="132">
        <v>389072.03</v>
      </c>
      <c r="M8" s="132">
        <v>993257.67</v>
      </c>
      <c r="N8" s="132">
        <v>665543.87</v>
      </c>
      <c r="O8" s="132">
        <v>400063.71</v>
      </c>
      <c r="P8" s="132">
        <v>825744.38</v>
      </c>
      <c r="Q8" s="132">
        <v>478941.18</v>
      </c>
      <c r="R8" s="237">
        <v>8030948.1299999999</v>
      </c>
      <c r="S8" s="6"/>
      <c r="T8" s="132">
        <v>918605.75</v>
      </c>
      <c r="U8" s="132">
        <v>487792.45</v>
      </c>
      <c r="V8" s="132">
        <v>1024563.64</v>
      </c>
      <c r="W8" s="132">
        <v>502102.47</v>
      </c>
      <c r="X8" s="132">
        <v>836397.93</v>
      </c>
      <c r="Y8" s="132">
        <v>1024760.67</v>
      </c>
      <c r="Z8" s="245">
        <v>4794222.91</v>
      </c>
      <c r="AA8" s="3"/>
      <c r="AB8" s="252">
        <f t="shared" ref="AB8:AB23" si="0">SUM(F8:K8)</f>
        <v>4278325.29</v>
      </c>
      <c r="AC8" s="224">
        <f>+Z8-AB8</f>
        <v>515897.62000000011</v>
      </c>
      <c r="AD8" s="8">
        <f>+AC8/AB8</f>
        <v>0.12058401010457064</v>
      </c>
    </row>
    <row r="9" spans="1:30" x14ac:dyDescent="0.4">
      <c r="A9" s="1" t="s">
        <v>23</v>
      </c>
      <c r="B9" s="193" t="s">
        <v>24</v>
      </c>
      <c r="C9" s="256">
        <v>468971.97</v>
      </c>
      <c r="D9">
        <v>39080.997499999998</v>
      </c>
      <c r="E9" s="192" t="s">
        <v>19</v>
      </c>
      <c r="F9" s="132">
        <v>40523.49</v>
      </c>
      <c r="G9" s="132">
        <v>20739.759999999998</v>
      </c>
      <c r="H9" s="132">
        <v>63525.96</v>
      </c>
      <c r="I9" s="132">
        <v>9797.4500000000007</v>
      </c>
      <c r="J9" s="132">
        <v>40528.86</v>
      </c>
      <c r="K9" s="132">
        <v>34987.97</v>
      </c>
      <c r="L9" s="132">
        <v>26158.44</v>
      </c>
      <c r="M9" s="132">
        <v>68735.19</v>
      </c>
      <c r="N9" s="132">
        <v>45398.67</v>
      </c>
      <c r="O9" s="132">
        <v>17718.52</v>
      </c>
      <c r="P9" s="132">
        <v>37990.89</v>
      </c>
      <c r="Q9" s="132">
        <v>3365.13</v>
      </c>
      <c r="R9" s="237">
        <v>409470.33</v>
      </c>
      <c r="S9" s="6"/>
      <c r="T9" s="132">
        <v>72461.86</v>
      </c>
      <c r="U9" s="132">
        <v>16050.88</v>
      </c>
      <c r="V9" s="132">
        <v>104173.17</v>
      </c>
      <c r="W9" s="132">
        <v>16435.189999999999</v>
      </c>
      <c r="X9" s="132">
        <v>91112.13</v>
      </c>
      <c r="Y9" s="132">
        <v>6633.06</v>
      </c>
      <c r="Z9" s="245">
        <v>306866.28999999998</v>
      </c>
      <c r="AA9" s="3"/>
      <c r="AB9" s="252">
        <f t="shared" si="0"/>
        <v>210103.49000000002</v>
      </c>
      <c r="AC9" s="224">
        <f t="shared" ref="AC9:AC23" si="1">+Z9-AB9</f>
        <v>96762.799999999959</v>
      </c>
      <c r="AD9" s="8">
        <f t="shared" ref="AD9:AD23" si="2">+AC9/AB9</f>
        <v>0.46054827551888811</v>
      </c>
    </row>
    <row r="10" spans="1:30" x14ac:dyDescent="0.4">
      <c r="A10" s="1" t="s">
        <v>25</v>
      </c>
      <c r="B10" s="193" t="s">
        <v>26</v>
      </c>
      <c r="C10" s="256">
        <v>9514.98</v>
      </c>
      <c r="D10">
        <v>792.91499999999996</v>
      </c>
      <c r="E10" s="192" t="s">
        <v>19</v>
      </c>
      <c r="F10" s="132">
        <v>930</v>
      </c>
      <c r="G10" s="132">
        <v>190</v>
      </c>
      <c r="H10" s="132">
        <v>3638.9</v>
      </c>
      <c r="I10" s="132">
        <v>706.66</v>
      </c>
      <c r="J10" s="132">
        <v>1625.84</v>
      </c>
      <c r="K10" s="132">
        <v>1770</v>
      </c>
      <c r="L10" s="132">
        <v>300</v>
      </c>
      <c r="M10" s="132">
        <v>100</v>
      </c>
      <c r="N10" s="132">
        <v>750</v>
      </c>
      <c r="O10" s="131"/>
      <c r="P10" s="132">
        <v>1278</v>
      </c>
      <c r="Q10" s="132">
        <v>1262</v>
      </c>
      <c r="R10" s="237">
        <v>12551.4</v>
      </c>
      <c r="S10" s="6"/>
      <c r="T10" s="132">
        <v>350</v>
      </c>
      <c r="U10" s="132">
        <v>2217.1</v>
      </c>
      <c r="V10" s="132">
        <v>286</v>
      </c>
      <c r="W10" s="132">
        <v>1360.3</v>
      </c>
      <c r="X10" s="132">
        <v>1119.96</v>
      </c>
      <c r="Y10" s="132">
        <v>957</v>
      </c>
      <c r="Z10" s="245">
        <v>6290.36</v>
      </c>
      <c r="AA10" s="3"/>
      <c r="AB10" s="252">
        <f t="shared" si="0"/>
        <v>8861.4</v>
      </c>
      <c r="AC10" s="224">
        <f t="shared" si="1"/>
        <v>-2571.04</v>
      </c>
      <c r="AD10" s="8">
        <f t="shared" si="2"/>
        <v>-0.29013925564809173</v>
      </c>
    </row>
    <row r="11" spans="1:30" x14ac:dyDescent="0.4">
      <c r="A11" s="1" t="s">
        <v>27</v>
      </c>
      <c r="B11" s="220" t="s">
        <v>28</v>
      </c>
      <c r="C11" s="256">
        <v>2405564.0299999998</v>
      </c>
      <c r="D11">
        <v>200463.66916666666</v>
      </c>
      <c r="E11" s="222" t="s">
        <v>19</v>
      </c>
      <c r="F11" s="221">
        <v>6550</v>
      </c>
      <c r="G11" s="221">
        <v>79367.899999999994</v>
      </c>
      <c r="H11" s="221">
        <v>43830</v>
      </c>
      <c r="I11" s="221">
        <v>5500</v>
      </c>
      <c r="J11" s="221">
        <v>8000</v>
      </c>
      <c r="K11" s="221">
        <v>175582.69</v>
      </c>
      <c r="L11" s="221">
        <v>68300</v>
      </c>
      <c r="M11" s="221">
        <v>17300</v>
      </c>
      <c r="N11" s="221">
        <v>42757.78</v>
      </c>
      <c r="O11" s="221">
        <v>10000</v>
      </c>
      <c r="P11" s="221">
        <v>10250</v>
      </c>
      <c r="Q11" s="221">
        <v>9000</v>
      </c>
      <c r="R11" s="237">
        <v>476438.37</v>
      </c>
      <c r="S11" s="6"/>
      <c r="T11" s="132">
        <v>24667.599999999999</v>
      </c>
      <c r="U11" s="132">
        <v>20380.46</v>
      </c>
      <c r="V11" s="132">
        <v>26763.78</v>
      </c>
      <c r="W11" s="132">
        <v>12463.78</v>
      </c>
      <c r="X11" s="132">
        <v>15968.22</v>
      </c>
      <c r="Y11" s="132">
        <v>6000</v>
      </c>
      <c r="Z11" s="245">
        <v>106243.84</v>
      </c>
      <c r="AA11" s="3"/>
      <c r="AB11" s="252">
        <f t="shared" si="0"/>
        <v>318830.58999999997</v>
      </c>
      <c r="AC11" s="224">
        <f t="shared" si="1"/>
        <v>-212586.74999999997</v>
      </c>
      <c r="AD11" s="8">
        <f t="shared" si="2"/>
        <v>-0.6667702430936755</v>
      </c>
    </row>
    <row r="12" spans="1:30" x14ac:dyDescent="0.4">
      <c r="A12" s="1" t="s">
        <v>29</v>
      </c>
      <c r="B12" s="193" t="s">
        <v>30</v>
      </c>
      <c r="C12" s="256">
        <v>499818.34</v>
      </c>
      <c r="D12">
        <v>41651.528333333335</v>
      </c>
      <c r="E12" s="192" t="s">
        <v>19</v>
      </c>
      <c r="F12" s="132">
        <v>184726.39</v>
      </c>
      <c r="G12" s="132">
        <v>123210.77</v>
      </c>
      <c r="H12" s="132">
        <v>118711.18</v>
      </c>
      <c r="I12" s="132">
        <v>211468.16</v>
      </c>
      <c r="J12" s="132">
        <v>35959.589999999997</v>
      </c>
      <c r="K12" s="132">
        <v>77979.820000000007</v>
      </c>
      <c r="L12" s="132">
        <v>6857.16</v>
      </c>
      <c r="M12" s="132">
        <v>780.78</v>
      </c>
      <c r="N12" s="132">
        <v>17406.03</v>
      </c>
      <c r="O12" s="132">
        <v>9330.35</v>
      </c>
      <c r="P12" s="132">
        <v>3015.07</v>
      </c>
      <c r="Q12" s="132">
        <v>6931.4</v>
      </c>
      <c r="R12" s="237">
        <v>796376.7</v>
      </c>
      <c r="S12" s="6"/>
      <c r="T12" s="132">
        <v>17720.41</v>
      </c>
      <c r="U12" s="132">
        <v>7396.19</v>
      </c>
      <c r="V12" s="132">
        <v>23417.66</v>
      </c>
      <c r="W12" s="132">
        <v>9834.24</v>
      </c>
      <c r="X12" s="132">
        <v>20873.78</v>
      </c>
      <c r="Y12" s="132">
        <v>6045.56</v>
      </c>
      <c r="Z12" s="245">
        <v>85287.84</v>
      </c>
      <c r="AA12" s="3"/>
      <c r="AB12" s="252">
        <f t="shared" si="0"/>
        <v>752055.90999999992</v>
      </c>
      <c r="AC12" s="224">
        <f t="shared" si="1"/>
        <v>-666768.06999999995</v>
      </c>
      <c r="AD12" s="8">
        <f t="shared" si="2"/>
        <v>-0.8865937507226026</v>
      </c>
    </row>
    <row r="13" spans="1:30" x14ac:dyDescent="0.4">
      <c r="A13" s="1" t="s">
        <v>31</v>
      </c>
      <c r="B13" s="193" t="s">
        <v>33</v>
      </c>
      <c r="C13" s="256">
        <v>183131.69</v>
      </c>
      <c r="D13">
        <v>15260.974166666667</v>
      </c>
      <c r="E13" s="192" t="s">
        <v>19</v>
      </c>
      <c r="F13" s="132">
        <v>11984.64</v>
      </c>
      <c r="G13" s="132">
        <v>8171.67</v>
      </c>
      <c r="H13" s="132">
        <v>11713.26</v>
      </c>
      <c r="I13" s="132">
        <v>24004.04</v>
      </c>
      <c r="J13" s="132">
        <v>13907.46</v>
      </c>
      <c r="K13" s="132">
        <v>10628.5</v>
      </c>
      <c r="L13" s="132">
        <v>5309.47</v>
      </c>
      <c r="M13" s="132">
        <v>3122.44</v>
      </c>
      <c r="N13" s="132">
        <v>8576.44</v>
      </c>
      <c r="O13" s="132">
        <v>19526.66</v>
      </c>
      <c r="P13" s="132">
        <v>12206.9</v>
      </c>
      <c r="Q13" s="132">
        <v>14516.46</v>
      </c>
      <c r="R13" s="237">
        <v>143667.94</v>
      </c>
      <c r="S13" s="35"/>
      <c r="T13" s="132">
        <v>19705.8</v>
      </c>
      <c r="U13" s="132">
        <v>8576.02</v>
      </c>
      <c r="V13" s="132">
        <v>7955.82</v>
      </c>
      <c r="W13" s="132">
        <v>6874.24</v>
      </c>
      <c r="X13" s="132">
        <v>12276.24</v>
      </c>
      <c r="Y13" s="132">
        <v>13961.58</v>
      </c>
      <c r="Z13" s="245">
        <v>69349.7</v>
      </c>
      <c r="AA13" s="3"/>
      <c r="AB13" s="252">
        <f t="shared" si="0"/>
        <v>80409.570000000007</v>
      </c>
      <c r="AC13" s="224">
        <f t="shared" si="1"/>
        <v>-11059.87000000001</v>
      </c>
      <c r="AD13" s="8">
        <f t="shared" si="2"/>
        <v>-0.13754420027367401</v>
      </c>
    </row>
    <row r="14" spans="1:30" x14ac:dyDescent="0.4">
      <c r="A14" s="1" t="s">
        <v>32</v>
      </c>
      <c r="B14" s="193" t="s">
        <v>35</v>
      </c>
      <c r="C14" s="256">
        <v>24200</v>
      </c>
      <c r="D14">
        <v>2016.6666666666667</v>
      </c>
      <c r="E14" s="192" t="s">
        <v>19</v>
      </c>
      <c r="F14" s="132">
        <v>1000</v>
      </c>
      <c r="G14" s="132">
        <v>1000</v>
      </c>
      <c r="H14" s="131"/>
      <c r="I14" s="131"/>
      <c r="J14" s="131"/>
      <c r="K14" s="132">
        <v>17000</v>
      </c>
      <c r="L14" s="131"/>
      <c r="M14" s="131"/>
      <c r="N14" s="131"/>
      <c r="O14" s="131"/>
      <c r="P14" s="132">
        <v>1000</v>
      </c>
      <c r="Q14" s="131"/>
      <c r="R14" s="237">
        <v>20000</v>
      </c>
      <c r="S14" s="6"/>
      <c r="T14" s="131"/>
      <c r="U14" s="132">
        <v>1000</v>
      </c>
      <c r="V14" s="132">
        <v>3000</v>
      </c>
      <c r="W14" s="131"/>
      <c r="X14" s="131"/>
      <c r="Y14" s="131"/>
      <c r="Z14" s="245">
        <v>4000</v>
      </c>
      <c r="AA14" s="3"/>
      <c r="AB14" s="252">
        <f t="shared" si="0"/>
        <v>19000</v>
      </c>
      <c r="AC14" s="224">
        <f t="shared" si="1"/>
        <v>-15000</v>
      </c>
      <c r="AD14" s="8">
        <f t="shared" si="2"/>
        <v>-0.78947368421052633</v>
      </c>
    </row>
    <row r="15" spans="1:30" x14ac:dyDescent="0.4">
      <c r="A15" s="1" t="s">
        <v>34</v>
      </c>
      <c r="B15" s="193" t="s">
        <v>37</v>
      </c>
      <c r="C15" s="256">
        <v>159190.47</v>
      </c>
      <c r="D15">
        <v>13265.872499999999</v>
      </c>
      <c r="E15" s="192" t="s">
        <v>19</v>
      </c>
      <c r="F15" s="132">
        <v>17452</v>
      </c>
      <c r="G15" s="132">
        <v>4075.47</v>
      </c>
      <c r="H15" s="132">
        <v>1638</v>
      </c>
      <c r="I15" s="132">
        <v>8898</v>
      </c>
      <c r="J15" s="132">
        <v>6884</v>
      </c>
      <c r="K15" s="132">
        <v>3740.31</v>
      </c>
      <c r="L15" s="132">
        <v>7342.7</v>
      </c>
      <c r="M15" s="132">
        <v>1209.43</v>
      </c>
      <c r="N15" s="131"/>
      <c r="O15" s="131"/>
      <c r="P15" s="131"/>
      <c r="Q15" s="132">
        <v>1035</v>
      </c>
      <c r="R15" s="237">
        <v>52274.91</v>
      </c>
      <c r="S15" s="6"/>
      <c r="T15" s="132">
        <v>1862</v>
      </c>
      <c r="U15" s="132">
        <v>120</v>
      </c>
      <c r="V15" s="132">
        <v>3179</v>
      </c>
      <c r="W15" s="131"/>
      <c r="X15" s="132">
        <v>2820</v>
      </c>
      <c r="Y15" s="132">
        <v>1691</v>
      </c>
      <c r="Z15" s="245">
        <v>9672</v>
      </c>
      <c r="AA15" s="3"/>
      <c r="AB15" s="252">
        <f t="shared" si="0"/>
        <v>42687.78</v>
      </c>
      <c r="AC15" s="224">
        <f t="shared" si="1"/>
        <v>-33015.78</v>
      </c>
      <c r="AD15" s="8">
        <f t="shared" si="2"/>
        <v>-0.77342461941098839</v>
      </c>
    </row>
    <row r="16" spans="1:30" x14ac:dyDescent="0.4">
      <c r="A16" s="1" t="s">
        <v>36</v>
      </c>
      <c r="B16" s="193" t="s">
        <v>39</v>
      </c>
      <c r="C16" s="256">
        <v>25000</v>
      </c>
      <c r="D16">
        <v>2083.3333333333335</v>
      </c>
      <c r="E16" s="192" t="s">
        <v>19</v>
      </c>
      <c r="F16" s="131"/>
      <c r="G16" s="131"/>
      <c r="H16" s="132">
        <v>25006</v>
      </c>
      <c r="I16" s="131"/>
      <c r="J16" s="131"/>
      <c r="K16" s="131"/>
      <c r="L16" s="131"/>
      <c r="M16" s="131"/>
      <c r="N16" s="131"/>
      <c r="O16" s="131"/>
      <c r="P16" s="131"/>
      <c r="Q16" s="131"/>
      <c r="R16" s="237">
        <v>25006</v>
      </c>
      <c r="S16" s="6"/>
      <c r="T16" s="131"/>
      <c r="U16" s="131"/>
      <c r="V16" s="131"/>
      <c r="W16" s="131"/>
      <c r="X16" s="131"/>
      <c r="Y16" s="131"/>
      <c r="Z16" s="245"/>
      <c r="AA16" s="3"/>
      <c r="AB16" s="252">
        <f t="shared" si="0"/>
        <v>25006</v>
      </c>
      <c r="AC16" s="224">
        <f t="shared" si="1"/>
        <v>-25006</v>
      </c>
      <c r="AD16" s="8">
        <f t="shared" si="2"/>
        <v>-1</v>
      </c>
    </row>
    <row r="17" spans="1:30" x14ac:dyDescent="0.4">
      <c r="A17" s="1" t="s">
        <v>38</v>
      </c>
      <c r="B17" s="193" t="s">
        <v>41</v>
      </c>
      <c r="C17" s="256">
        <v>34673.43</v>
      </c>
      <c r="D17">
        <v>2889.4524999999999</v>
      </c>
      <c r="E17" s="192" t="s">
        <v>19</v>
      </c>
      <c r="F17" s="132">
        <v>261.38</v>
      </c>
      <c r="G17" s="132">
        <v>5550.83</v>
      </c>
      <c r="H17" s="131"/>
      <c r="I17" s="132">
        <v>1232.18</v>
      </c>
      <c r="J17" s="132">
        <v>669.9</v>
      </c>
      <c r="K17" s="132">
        <v>2763.38</v>
      </c>
      <c r="L17" s="132">
        <v>170.1</v>
      </c>
      <c r="M17" s="132">
        <v>46.13</v>
      </c>
      <c r="N17" s="131"/>
      <c r="O17" s="132">
        <v>307.5</v>
      </c>
      <c r="P17" s="132">
        <v>78.75</v>
      </c>
      <c r="Q17" s="132">
        <v>1332.5</v>
      </c>
      <c r="R17" s="237">
        <v>12412.65</v>
      </c>
      <c r="S17" s="6"/>
      <c r="T17" s="132">
        <v>219.9</v>
      </c>
      <c r="U17" s="132">
        <v>210</v>
      </c>
      <c r="V17" s="131"/>
      <c r="W17" s="132">
        <v>2271.4</v>
      </c>
      <c r="X17" s="132">
        <v>157.5</v>
      </c>
      <c r="Y17" s="132">
        <v>7572.93</v>
      </c>
      <c r="Z17" s="245">
        <v>10431.73</v>
      </c>
      <c r="AA17" s="3"/>
      <c r="AB17" s="252">
        <f t="shared" si="0"/>
        <v>10477.67</v>
      </c>
      <c r="AC17" s="224">
        <f t="shared" si="1"/>
        <v>-45.940000000000509</v>
      </c>
      <c r="AD17" s="8">
        <f t="shared" si="2"/>
        <v>-4.3845625983639979E-3</v>
      </c>
    </row>
    <row r="18" spans="1:30" x14ac:dyDescent="0.4">
      <c r="A18" s="1" t="s">
        <v>40</v>
      </c>
      <c r="B18" s="193" t="s">
        <v>43</v>
      </c>
      <c r="C18" s="256">
        <v>17946.560000000001</v>
      </c>
      <c r="D18">
        <v>1495.5466666666666</v>
      </c>
      <c r="E18" s="192" t="s">
        <v>19</v>
      </c>
      <c r="F18" s="132">
        <v>1017.67</v>
      </c>
      <c r="G18" s="132">
        <v>378.02</v>
      </c>
      <c r="H18" s="132">
        <v>597.89</v>
      </c>
      <c r="I18" s="132">
        <v>1055.68</v>
      </c>
      <c r="J18" s="132">
        <v>1830.85</v>
      </c>
      <c r="K18" s="132">
        <v>1553.1</v>
      </c>
      <c r="L18" s="132">
        <v>548.46</v>
      </c>
      <c r="M18" s="132">
        <v>953.92</v>
      </c>
      <c r="N18" s="132">
        <v>1263.19</v>
      </c>
      <c r="O18" s="132">
        <v>2569.96</v>
      </c>
      <c r="P18" s="132">
        <v>5215.87</v>
      </c>
      <c r="Q18" s="132">
        <v>11446.37</v>
      </c>
      <c r="R18" s="237">
        <v>28430.98</v>
      </c>
      <c r="S18" s="6"/>
      <c r="T18" s="132">
        <v>5485.17</v>
      </c>
      <c r="U18" s="132">
        <v>5766.86</v>
      </c>
      <c r="V18" s="132">
        <v>10933.87</v>
      </c>
      <c r="W18" s="132">
        <v>1535.61</v>
      </c>
      <c r="X18" s="132">
        <v>2059.21</v>
      </c>
      <c r="Y18" s="132">
        <v>2742.83</v>
      </c>
      <c r="Z18" s="245">
        <v>28523.55</v>
      </c>
      <c r="AA18" s="3"/>
      <c r="AB18" s="252">
        <f t="shared" si="0"/>
        <v>6433.2100000000009</v>
      </c>
      <c r="AC18" s="224">
        <f t="shared" si="1"/>
        <v>22090.339999999997</v>
      </c>
      <c r="AD18" s="8">
        <f t="shared" si="2"/>
        <v>3.4337974354948764</v>
      </c>
    </row>
    <row r="19" spans="1:30" x14ac:dyDescent="0.4">
      <c r="A19" s="1" t="s">
        <v>42</v>
      </c>
      <c r="B19" s="193" t="s">
        <v>45</v>
      </c>
      <c r="C19" s="256">
        <v>238623.81</v>
      </c>
      <c r="D19">
        <v>19885.317500000001</v>
      </c>
      <c r="E19" s="192" t="s">
        <v>19</v>
      </c>
      <c r="F19" s="132">
        <v>9462.92</v>
      </c>
      <c r="G19" s="132">
        <v>32622.27</v>
      </c>
      <c r="H19" s="132">
        <v>18238.11</v>
      </c>
      <c r="I19" s="132">
        <v>11885.71</v>
      </c>
      <c r="J19" s="132">
        <v>19998.05</v>
      </c>
      <c r="K19" s="132">
        <v>31507.64</v>
      </c>
      <c r="L19" s="132">
        <v>9524.56</v>
      </c>
      <c r="M19" s="132">
        <v>7044.25</v>
      </c>
      <c r="N19" s="132">
        <v>13366.2</v>
      </c>
      <c r="O19" s="132">
        <v>18165.96</v>
      </c>
      <c r="P19" s="132">
        <v>15113.75</v>
      </c>
      <c r="Q19" s="132">
        <v>26120.33</v>
      </c>
      <c r="R19" s="237">
        <v>213049.75</v>
      </c>
      <c r="S19" s="6"/>
      <c r="T19" s="132">
        <v>11140</v>
      </c>
      <c r="U19" s="132">
        <v>22391.25</v>
      </c>
      <c r="V19" s="132">
        <v>20876.71</v>
      </c>
      <c r="W19" s="132">
        <v>22827.86</v>
      </c>
      <c r="X19" s="132">
        <v>23503.72</v>
      </c>
      <c r="Y19" s="132">
        <v>16159.62</v>
      </c>
      <c r="Z19" s="245">
        <v>116899.16</v>
      </c>
      <c r="AA19" s="3"/>
      <c r="AB19" s="252">
        <f t="shared" si="0"/>
        <v>123714.70000000001</v>
      </c>
      <c r="AC19" s="224">
        <f t="shared" si="1"/>
        <v>-6815.5400000000081</v>
      </c>
      <c r="AD19" s="8">
        <f t="shared" si="2"/>
        <v>-5.5090785492750718E-2</v>
      </c>
    </row>
    <row r="20" spans="1:30" x14ac:dyDescent="0.4">
      <c r="A20" s="1" t="s">
        <v>44</v>
      </c>
      <c r="B20" s="193" t="s">
        <v>47</v>
      </c>
      <c r="C20" s="256">
        <v>250000</v>
      </c>
      <c r="D20">
        <v>20833.333333333332</v>
      </c>
      <c r="E20" s="192" t="s">
        <v>19</v>
      </c>
      <c r="F20" s="132">
        <v>26000</v>
      </c>
      <c r="G20" s="132">
        <v>29500</v>
      </c>
      <c r="H20" s="132">
        <v>22500</v>
      </c>
      <c r="I20" s="132">
        <v>22500</v>
      </c>
      <c r="J20" s="132">
        <v>22500</v>
      </c>
      <c r="K20" s="132">
        <v>22500</v>
      </c>
      <c r="L20" s="132">
        <v>22500</v>
      </c>
      <c r="M20" s="132">
        <v>22500</v>
      </c>
      <c r="N20" s="132">
        <v>12500</v>
      </c>
      <c r="O20" s="132">
        <v>12500</v>
      </c>
      <c r="P20" s="132">
        <v>12500</v>
      </c>
      <c r="Q20" s="132">
        <v>12500</v>
      </c>
      <c r="R20" s="237">
        <v>240500</v>
      </c>
      <c r="S20" s="6"/>
      <c r="T20" s="132">
        <v>12500</v>
      </c>
      <c r="U20" s="132">
        <v>12500</v>
      </c>
      <c r="V20" s="132">
        <v>9500</v>
      </c>
      <c r="W20" s="132">
        <v>7500</v>
      </c>
      <c r="X20" s="132">
        <v>11500</v>
      </c>
      <c r="Y20" s="132">
        <v>11500</v>
      </c>
      <c r="Z20" s="245">
        <v>65000</v>
      </c>
      <c r="AA20" s="3"/>
      <c r="AB20" s="252">
        <f t="shared" si="0"/>
        <v>145500</v>
      </c>
      <c r="AC20" s="224">
        <f t="shared" si="1"/>
        <v>-80500</v>
      </c>
      <c r="AD20" s="8">
        <f t="shared" si="2"/>
        <v>-0.5532646048109966</v>
      </c>
    </row>
    <row r="21" spans="1:30" x14ac:dyDescent="0.4">
      <c r="A21" s="1" t="s">
        <v>46</v>
      </c>
      <c r="B21" s="193" t="s">
        <v>49</v>
      </c>
      <c r="C21" s="256">
        <v>229195</v>
      </c>
      <c r="D21">
        <v>19099.583333333332</v>
      </c>
      <c r="E21" s="192" t="s">
        <v>19</v>
      </c>
      <c r="F21" s="132">
        <v>1000</v>
      </c>
      <c r="G21" s="132">
        <v>3500</v>
      </c>
      <c r="H21" s="132">
        <v>13955.43</v>
      </c>
      <c r="I21" s="132">
        <v>7920</v>
      </c>
      <c r="J21" s="132">
        <v>500</v>
      </c>
      <c r="K21" s="132">
        <v>17600</v>
      </c>
      <c r="L21" s="132">
        <v>13554</v>
      </c>
      <c r="M21" s="132">
        <v>1175</v>
      </c>
      <c r="N21" s="132">
        <v>12200</v>
      </c>
      <c r="O21" s="132">
        <v>430</v>
      </c>
      <c r="P21" s="131"/>
      <c r="Q21" s="132">
        <v>50</v>
      </c>
      <c r="R21" s="237">
        <v>71884.429999999993</v>
      </c>
      <c r="S21" s="6"/>
      <c r="T21" s="132">
        <v>9900</v>
      </c>
      <c r="U21" s="132">
        <v>10413.870000000001</v>
      </c>
      <c r="V21" s="132">
        <v>23395</v>
      </c>
      <c r="W21" s="132">
        <v>23675</v>
      </c>
      <c r="X21" s="132">
        <v>11800</v>
      </c>
      <c r="Y21" s="132">
        <v>29522</v>
      </c>
      <c r="Z21" s="245">
        <v>108705.87</v>
      </c>
      <c r="AA21" s="3"/>
      <c r="AB21" s="252">
        <f t="shared" si="0"/>
        <v>44475.43</v>
      </c>
      <c r="AC21" s="224">
        <f t="shared" si="1"/>
        <v>64230.439999999995</v>
      </c>
      <c r="AD21" s="8">
        <f t="shared" si="2"/>
        <v>1.4441780551643906</v>
      </c>
    </row>
    <row r="22" spans="1:30" x14ac:dyDescent="0.4">
      <c r="A22" s="1" t="s">
        <v>48</v>
      </c>
      <c r="B22" s="193" t="s">
        <v>51</v>
      </c>
      <c r="C22" s="256">
        <v>100</v>
      </c>
      <c r="D22">
        <v>8.3333333333333002</v>
      </c>
      <c r="E22" s="192" t="s">
        <v>19</v>
      </c>
      <c r="F22" s="131"/>
      <c r="G22" s="131"/>
      <c r="H22" s="131"/>
      <c r="I22" s="131"/>
      <c r="J22" s="131"/>
      <c r="K22" s="131"/>
      <c r="L22" s="131"/>
      <c r="M22" s="132">
        <v>100</v>
      </c>
      <c r="N22" s="131"/>
      <c r="O22" s="131"/>
      <c r="P22" s="131"/>
      <c r="Q22" s="131"/>
      <c r="R22" s="237">
        <v>100</v>
      </c>
      <c r="S22" s="6"/>
      <c r="T22" s="131"/>
      <c r="U22" s="131"/>
      <c r="V22" s="131"/>
      <c r="W22" s="132">
        <v>150</v>
      </c>
      <c r="X22" s="131"/>
      <c r="Y22" s="131"/>
      <c r="Z22" s="245">
        <v>150</v>
      </c>
      <c r="AA22" s="3"/>
      <c r="AB22" s="252">
        <f t="shared" si="0"/>
        <v>0</v>
      </c>
      <c r="AC22" s="224">
        <f t="shared" si="1"/>
        <v>150</v>
      </c>
      <c r="AD22" s="8" t="e">
        <f t="shared" si="2"/>
        <v>#DIV/0!</v>
      </c>
    </row>
    <row r="23" spans="1:30" x14ac:dyDescent="0.4">
      <c r="A23" s="1" t="s">
        <v>50</v>
      </c>
      <c r="B23" s="193" t="s">
        <v>53</v>
      </c>
      <c r="C23" s="257">
        <v>75286.899999999994</v>
      </c>
      <c r="D23">
        <v>6273.9083333333328</v>
      </c>
      <c r="E23" s="192" t="s">
        <v>19</v>
      </c>
      <c r="F23" s="133">
        <v>5268.54</v>
      </c>
      <c r="G23" s="133">
        <v>3888.34</v>
      </c>
      <c r="H23" s="133">
        <v>2557.44</v>
      </c>
      <c r="I23" s="133">
        <v>372.77</v>
      </c>
      <c r="J23" s="133">
        <v>2212.91</v>
      </c>
      <c r="K23" s="133">
        <v>15085.3</v>
      </c>
      <c r="L23" s="133">
        <v>1087.74</v>
      </c>
      <c r="M23" s="133">
        <v>3171.59</v>
      </c>
      <c r="N23" s="133">
        <v>1857.72</v>
      </c>
      <c r="O23" s="133">
        <v>23804.86</v>
      </c>
      <c r="P23" s="133">
        <v>664.68</v>
      </c>
      <c r="Q23" s="133">
        <v>1981.69</v>
      </c>
      <c r="R23" s="238">
        <v>61953.58</v>
      </c>
      <c r="S23" s="6"/>
      <c r="T23" s="133">
        <v>9322.44</v>
      </c>
      <c r="U23" s="133">
        <v>1633.87</v>
      </c>
      <c r="V23" s="133">
        <v>3225.09</v>
      </c>
      <c r="W23" s="263">
        <v>1257282.8999999999</v>
      </c>
      <c r="X23" s="133">
        <v>533.41</v>
      </c>
      <c r="Y23" s="133">
        <v>4930.2700000000004</v>
      </c>
      <c r="Z23" s="246">
        <v>1276927.98</v>
      </c>
      <c r="AA23" s="6"/>
      <c r="AB23" s="253">
        <f t="shared" si="0"/>
        <v>29385.300000000003</v>
      </c>
      <c r="AC23" s="11">
        <f t="shared" si="1"/>
        <v>1247542.68</v>
      </c>
      <c r="AD23" s="12">
        <f t="shared" si="2"/>
        <v>42.454651815703762</v>
      </c>
    </row>
    <row r="24" spans="1:30" x14ac:dyDescent="0.4">
      <c r="A24" s="1" t="s">
        <v>52</v>
      </c>
      <c r="B24" s="193" t="s">
        <v>54</v>
      </c>
      <c r="C24" s="257">
        <v>12449267.970000001</v>
      </c>
      <c r="D24">
        <v>1037438.9975000001</v>
      </c>
      <c r="E24" s="192" t="s">
        <v>19</v>
      </c>
      <c r="F24" s="133">
        <v>1285610.49</v>
      </c>
      <c r="G24" s="133">
        <v>751052.61</v>
      </c>
      <c r="H24" s="133">
        <v>1221820.54</v>
      </c>
      <c r="I24" s="133">
        <v>711501.47</v>
      </c>
      <c r="J24" s="133">
        <v>1202559.18</v>
      </c>
      <c r="K24" s="133">
        <v>922722.05</v>
      </c>
      <c r="L24" s="133">
        <v>550724.66</v>
      </c>
      <c r="M24" s="133">
        <v>1119496.3999999999</v>
      </c>
      <c r="N24" s="133">
        <v>821619.9</v>
      </c>
      <c r="O24" s="133">
        <v>514417.52</v>
      </c>
      <c r="P24" s="133">
        <v>925058.29</v>
      </c>
      <c r="Q24" s="133">
        <v>568482.06000000006</v>
      </c>
      <c r="R24" s="238">
        <v>10595065.17</v>
      </c>
      <c r="S24" s="6"/>
      <c r="T24" s="133">
        <v>1103940.93</v>
      </c>
      <c r="U24" s="133">
        <v>596448.94999999995</v>
      </c>
      <c r="V24" s="133">
        <v>1261269.74</v>
      </c>
      <c r="W24" s="133">
        <v>1864312.99</v>
      </c>
      <c r="X24" s="133">
        <v>1030122.1</v>
      </c>
      <c r="Y24" s="133">
        <v>1132476.52</v>
      </c>
      <c r="Z24" s="246">
        <v>6988571.2300000004</v>
      </c>
      <c r="AA24" s="6"/>
      <c r="AB24" s="238">
        <f>SUM(AB8:AB23)</f>
        <v>6095266.3400000008</v>
      </c>
      <c r="AC24" s="229">
        <f>SUM(AC8:AC23)</f>
        <v>893304.8899999999</v>
      </c>
      <c r="AD24" s="12">
        <f t="shared" ref="AD24:AD69" si="3">+AC24/AB24</f>
        <v>0.14655715438351127</v>
      </c>
    </row>
    <row r="25" spans="1:30" x14ac:dyDescent="0.4">
      <c r="A25" s="1"/>
      <c r="B25" s="193"/>
      <c r="C25" s="256"/>
      <c r="D25"/>
      <c r="E25" s="192" t="s">
        <v>19</v>
      </c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237"/>
      <c r="S25" s="6"/>
      <c r="T25" s="131"/>
      <c r="U25" s="131"/>
      <c r="V25" s="131"/>
      <c r="W25" s="131"/>
      <c r="X25" s="131"/>
      <c r="Y25" s="131"/>
      <c r="Z25" s="245"/>
      <c r="AA25" s="33"/>
      <c r="AB25" s="237"/>
      <c r="AC25" s="4"/>
      <c r="AD25" s="5"/>
    </row>
    <row r="26" spans="1:30" x14ac:dyDescent="0.4">
      <c r="A26" s="1"/>
      <c r="B26" s="193" t="s">
        <v>55</v>
      </c>
      <c r="C26" s="256"/>
      <c r="D26"/>
      <c r="E26" s="192" t="s">
        <v>19</v>
      </c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237"/>
      <c r="S26" s="35"/>
      <c r="T26" s="131"/>
      <c r="U26" s="131"/>
      <c r="V26" s="131"/>
      <c r="W26" s="131"/>
      <c r="X26" s="131"/>
      <c r="Y26" s="131"/>
      <c r="Z26" s="245"/>
      <c r="AA26" s="33"/>
      <c r="AB26" s="237"/>
      <c r="AC26" s="4"/>
      <c r="AD26" s="5"/>
    </row>
    <row r="27" spans="1:30" x14ac:dyDescent="0.4">
      <c r="A27" s="1"/>
      <c r="B27" s="193" t="s">
        <v>56</v>
      </c>
      <c r="C27" s="256">
        <v>6682709.6500000004</v>
      </c>
      <c r="D27">
        <v>556892.47083333333</v>
      </c>
      <c r="E27" s="192" t="s">
        <v>19</v>
      </c>
      <c r="F27" s="132">
        <v>557083.62</v>
      </c>
      <c r="G27" s="132">
        <v>544621.19999999995</v>
      </c>
      <c r="H27" s="132">
        <v>548684.96</v>
      </c>
      <c r="I27" s="132">
        <v>566023.42000000004</v>
      </c>
      <c r="J27" s="132">
        <v>568265.16</v>
      </c>
      <c r="K27" s="132">
        <v>549889.52</v>
      </c>
      <c r="L27" s="132">
        <v>543635.32999999996</v>
      </c>
      <c r="M27" s="132">
        <v>543633.49</v>
      </c>
      <c r="N27" s="132">
        <v>535686.73</v>
      </c>
      <c r="O27" s="132">
        <v>535105.16</v>
      </c>
      <c r="P27" s="132">
        <v>534041.84</v>
      </c>
      <c r="Q27" s="132">
        <v>546727.09</v>
      </c>
      <c r="R27" s="237">
        <v>6573397.5199999996</v>
      </c>
      <c r="S27" s="35"/>
      <c r="T27" s="132">
        <v>549654.32999999996</v>
      </c>
      <c r="U27" s="132">
        <v>556209.35</v>
      </c>
      <c r="V27" s="132">
        <v>580816.87</v>
      </c>
      <c r="W27" s="132">
        <v>569163.09</v>
      </c>
      <c r="X27" s="132">
        <v>520915.77</v>
      </c>
      <c r="Y27" s="132">
        <v>514024.81</v>
      </c>
      <c r="Z27" s="245">
        <v>3290784.22</v>
      </c>
      <c r="AA27" s="3"/>
      <c r="AB27" s="252">
        <f t="shared" ref="AB27:AB32" si="4">SUM(F27:K27)</f>
        <v>3334567.88</v>
      </c>
      <c r="AC27" s="224">
        <f>+Z27-AB27</f>
        <v>-43783.659999999683</v>
      </c>
      <c r="AD27" s="8">
        <f t="shared" si="3"/>
        <v>-1.3130235033631909E-2</v>
      </c>
    </row>
    <row r="28" spans="1:30" x14ac:dyDescent="0.4">
      <c r="A28" s="1"/>
      <c r="B28" s="193" t="s">
        <v>57</v>
      </c>
      <c r="C28" s="256">
        <v>300169.34999999998</v>
      </c>
      <c r="D28">
        <v>25014.112499999999</v>
      </c>
      <c r="E28" s="192" t="s">
        <v>19</v>
      </c>
      <c r="F28" s="132">
        <v>2530.73</v>
      </c>
      <c r="G28" s="132">
        <v>1658.76</v>
      </c>
      <c r="H28" s="132">
        <v>3921.71</v>
      </c>
      <c r="I28" s="132">
        <v>24841.46</v>
      </c>
      <c r="J28" s="132">
        <v>32098.49</v>
      </c>
      <c r="K28" s="132">
        <v>8799.5</v>
      </c>
      <c r="L28" s="132">
        <v>328.84</v>
      </c>
      <c r="M28" s="132">
        <v>363</v>
      </c>
      <c r="N28" s="132">
        <v>1846.12</v>
      </c>
      <c r="O28" s="132">
        <v>504.2</v>
      </c>
      <c r="P28" s="132">
        <v>1475</v>
      </c>
      <c r="Q28" s="132">
        <v>1691.12</v>
      </c>
      <c r="R28" s="237">
        <v>80058.929999999993</v>
      </c>
      <c r="S28" s="6"/>
      <c r="T28" s="132"/>
      <c r="U28" s="132">
        <v>1.75</v>
      </c>
      <c r="V28" s="132">
        <v>7133.15</v>
      </c>
      <c r="W28" s="132">
        <v>969.89</v>
      </c>
      <c r="X28" s="132">
        <v>933.75</v>
      </c>
      <c r="Y28" s="132">
        <v>16772.62</v>
      </c>
      <c r="Z28" s="245">
        <v>25811.16</v>
      </c>
      <c r="AA28" s="3"/>
      <c r="AB28" s="252">
        <f t="shared" si="4"/>
        <v>73850.649999999994</v>
      </c>
      <c r="AC28" s="224">
        <f t="shared" ref="AC28:AC32" si="5">+Z28-AB28</f>
        <v>-48039.489999999991</v>
      </c>
      <c r="AD28" s="8">
        <f t="shared" ref="AD28:AD32" si="6">+AC28/AB28</f>
        <v>-0.65049515474813013</v>
      </c>
    </row>
    <row r="29" spans="1:30" x14ac:dyDescent="0.4">
      <c r="A29" s="1"/>
      <c r="B29" s="193" t="s">
        <v>58</v>
      </c>
      <c r="C29" s="256">
        <v>3426450.12</v>
      </c>
      <c r="D29">
        <v>285537.51</v>
      </c>
      <c r="E29" s="192" t="s">
        <v>19</v>
      </c>
      <c r="F29" s="132">
        <v>315490.62</v>
      </c>
      <c r="G29" s="132">
        <v>222958.1</v>
      </c>
      <c r="H29" s="132">
        <v>237777.79</v>
      </c>
      <c r="I29" s="132">
        <v>236867.81</v>
      </c>
      <c r="J29" s="132">
        <v>292083.53000000003</v>
      </c>
      <c r="K29" s="132">
        <v>289271.46000000002</v>
      </c>
      <c r="L29" s="132">
        <v>237892.69</v>
      </c>
      <c r="M29" s="132">
        <v>215536.21</v>
      </c>
      <c r="N29" s="132">
        <v>253086.04</v>
      </c>
      <c r="O29" s="132">
        <v>182712.91</v>
      </c>
      <c r="P29" s="132">
        <v>205586.56</v>
      </c>
      <c r="Q29" s="132">
        <v>204843.74</v>
      </c>
      <c r="R29" s="237">
        <v>2894107.46</v>
      </c>
      <c r="S29" s="6"/>
      <c r="T29" s="132">
        <v>212092.86</v>
      </c>
      <c r="U29" s="132">
        <v>217781.78</v>
      </c>
      <c r="V29" s="132">
        <v>242102.43</v>
      </c>
      <c r="W29" s="132">
        <v>217010.44</v>
      </c>
      <c r="X29" s="132">
        <v>216463.15</v>
      </c>
      <c r="Y29" s="132">
        <v>229770.68</v>
      </c>
      <c r="Z29" s="245">
        <v>1335221.3400000001</v>
      </c>
      <c r="AA29" s="3"/>
      <c r="AB29" s="252">
        <f t="shared" si="4"/>
        <v>1594449.31</v>
      </c>
      <c r="AC29" s="224">
        <f t="shared" si="5"/>
        <v>-259227.96999999997</v>
      </c>
      <c r="AD29" s="8">
        <f t="shared" si="6"/>
        <v>-0.1625815059620804</v>
      </c>
    </row>
    <row r="30" spans="1:30" x14ac:dyDescent="0.4">
      <c r="A30" s="1"/>
      <c r="B30" s="193" t="s">
        <v>59</v>
      </c>
      <c r="C30" s="256">
        <v>-1450267.55</v>
      </c>
      <c r="D30">
        <v>-120855.62916666667</v>
      </c>
      <c r="E30" s="192" t="s">
        <v>19</v>
      </c>
      <c r="F30" s="132">
        <v>79821.490000000005</v>
      </c>
      <c r="G30" s="132">
        <v>79503.490000000005</v>
      </c>
      <c r="H30" s="132">
        <v>83791.33</v>
      </c>
      <c r="I30" s="132">
        <v>75901.399999999994</v>
      </c>
      <c r="J30" s="132">
        <v>69378.95</v>
      </c>
      <c r="K30" s="132">
        <v>61600.87</v>
      </c>
      <c r="L30" s="132">
        <v>43300.74</v>
      </c>
      <c r="M30" s="132">
        <v>78899.81</v>
      </c>
      <c r="N30" s="132">
        <v>70666.61</v>
      </c>
      <c r="O30" s="132">
        <v>94315.9</v>
      </c>
      <c r="P30" s="132">
        <v>55401.39</v>
      </c>
      <c r="Q30" s="132">
        <v>87408.53</v>
      </c>
      <c r="R30" s="237">
        <v>879990.51</v>
      </c>
      <c r="S30" s="6"/>
      <c r="T30" s="132">
        <v>62778.18</v>
      </c>
      <c r="U30" s="132">
        <v>62333.35</v>
      </c>
      <c r="V30" s="132">
        <v>78450.66</v>
      </c>
      <c r="W30" s="132">
        <v>71174.16</v>
      </c>
      <c r="X30" s="132">
        <v>100018.78</v>
      </c>
      <c r="Y30" s="132">
        <v>82717.86</v>
      </c>
      <c r="Z30" s="245">
        <v>457472.99</v>
      </c>
      <c r="AA30" s="3"/>
      <c r="AB30" s="252">
        <f t="shared" si="4"/>
        <v>449997.52999999997</v>
      </c>
      <c r="AC30" s="224">
        <f t="shared" si="5"/>
        <v>7475.460000000021</v>
      </c>
      <c r="AD30" s="8">
        <f t="shared" si="6"/>
        <v>1.6612224515987945E-2</v>
      </c>
    </row>
    <row r="31" spans="1:30" x14ac:dyDescent="0.4">
      <c r="A31" s="1"/>
      <c r="B31" s="193" t="s">
        <v>60</v>
      </c>
      <c r="C31" s="256">
        <v>1176444.03</v>
      </c>
      <c r="D31">
        <v>98037.002500000002</v>
      </c>
      <c r="E31" s="192" t="s">
        <v>19</v>
      </c>
      <c r="F31" s="132">
        <v>73756.66</v>
      </c>
      <c r="G31" s="132">
        <v>118203.33</v>
      </c>
      <c r="H31" s="132">
        <v>74967.05</v>
      </c>
      <c r="I31" s="132">
        <v>88076</v>
      </c>
      <c r="J31" s="132">
        <v>106179.38</v>
      </c>
      <c r="K31" s="132">
        <v>75549.320000000007</v>
      </c>
      <c r="L31" s="132">
        <v>60902.3</v>
      </c>
      <c r="M31" s="132">
        <v>71042.38</v>
      </c>
      <c r="N31" s="132">
        <v>60652.53</v>
      </c>
      <c r="O31" s="132">
        <v>99401.23</v>
      </c>
      <c r="P31" s="132">
        <v>61422.93</v>
      </c>
      <c r="Q31" s="132">
        <v>101311.67</v>
      </c>
      <c r="R31" s="237">
        <v>991464.78</v>
      </c>
      <c r="S31" s="6"/>
      <c r="T31" s="132">
        <v>58477.95</v>
      </c>
      <c r="U31" s="132">
        <v>89709.46</v>
      </c>
      <c r="V31" s="132">
        <v>66012.87</v>
      </c>
      <c r="W31" s="132">
        <v>70690.899999999994</v>
      </c>
      <c r="X31" s="132">
        <v>67030.09</v>
      </c>
      <c r="Y31" s="132">
        <v>143701.03</v>
      </c>
      <c r="Z31" s="245">
        <v>495622.3</v>
      </c>
      <c r="AA31" s="3"/>
      <c r="AB31" s="252">
        <f t="shared" si="4"/>
        <v>536731.74</v>
      </c>
      <c r="AC31" s="224">
        <f t="shared" si="5"/>
        <v>-41109.440000000002</v>
      </c>
      <c r="AD31" s="8">
        <f t="shared" si="6"/>
        <v>-7.6592153838340185E-2</v>
      </c>
    </row>
    <row r="32" spans="1:30" x14ac:dyDescent="0.4">
      <c r="A32" s="1"/>
      <c r="B32" s="193" t="s">
        <v>61</v>
      </c>
      <c r="C32" s="257">
        <v>205266.5</v>
      </c>
      <c r="D32">
        <v>17105.541666666668</v>
      </c>
      <c r="E32" s="192" t="s">
        <v>19</v>
      </c>
      <c r="F32" s="133">
        <v>6458.91</v>
      </c>
      <c r="G32" s="133">
        <v>7958.21</v>
      </c>
      <c r="H32" s="133">
        <v>10019.44</v>
      </c>
      <c r="I32" s="133">
        <v>13726.54</v>
      </c>
      <c r="J32" s="133">
        <v>10513.85</v>
      </c>
      <c r="K32" s="133">
        <v>8001.23</v>
      </c>
      <c r="L32" s="133">
        <v>623.44000000000005</v>
      </c>
      <c r="M32" s="133">
        <v>6939.45</v>
      </c>
      <c r="N32" s="133">
        <v>308.77</v>
      </c>
      <c r="O32" s="133">
        <v>1386.98</v>
      </c>
      <c r="P32" s="133">
        <v>757.85</v>
      </c>
      <c r="Q32" s="133">
        <v>2714.61</v>
      </c>
      <c r="R32" s="238">
        <v>69409.279999999999</v>
      </c>
      <c r="S32" s="6"/>
      <c r="T32" s="133">
        <v>2299.81</v>
      </c>
      <c r="U32" s="133">
        <v>1193.3</v>
      </c>
      <c r="V32" s="133">
        <v>625.64</v>
      </c>
      <c r="W32" s="133">
        <v>1185.8399999999999</v>
      </c>
      <c r="X32" s="133">
        <v>1814.38</v>
      </c>
      <c r="Y32" s="133">
        <v>2189.5500000000002</v>
      </c>
      <c r="Z32" s="246">
        <v>9308.52</v>
      </c>
      <c r="AA32" s="6"/>
      <c r="AB32" s="253">
        <f t="shared" si="4"/>
        <v>56678.179999999993</v>
      </c>
      <c r="AC32" s="11">
        <f t="shared" si="5"/>
        <v>-47369.659999999989</v>
      </c>
      <c r="AD32" s="12">
        <f t="shared" si="6"/>
        <v>-0.83576536861275352</v>
      </c>
    </row>
    <row r="33" spans="1:30" x14ac:dyDescent="0.4">
      <c r="A33" s="1"/>
      <c r="B33" s="193" t="s">
        <v>62</v>
      </c>
      <c r="C33" s="257">
        <v>10340772.1</v>
      </c>
      <c r="D33">
        <v>861731.0083333333</v>
      </c>
      <c r="E33" s="192" t="s">
        <v>19</v>
      </c>
      <c r="F33" s="133">
        <v>1035142.03</v>
      </c>
      <c r="G33" s="133">
        <v>974903.09</v>
      </c>
      <c r="H33" s="133">
        <v>959162.28</v>
      </c>
      <c r="I33" s="133">
        <v>1005436.63</v>
      </c>
      <c r="J33" s="133">
        <v>1078519.3600000001</v>
      </c>
      <c r="K33" s="133">
        <v>993111.9</v>
      </c>
      <c r="L33" s="133">
        <v>886683.34</v>
      </c>
      <c r="M33" s="133">
        <v>916414.34</v>
      </c>
      <c r="N33" s="133">
        <v>922246.8</v>
      </c>
      <c r="O33" s="133">
        <v>913426.38</v>
      </c>
      <c r="P33" s="133">
        <v>858685.57</v>
      </c>
      <c r="Q33" s="133">
        <v>944696.76</v>
      </c>
      <c r="R33" s="238">
        <v>11488428.48</v>
      </c>
      <c r="S33" s="6"/>
      <c r="T33" s="133">
        <v>885303.13</v>
      </c>
      <c r="U33" s="133">
        <v>927228.99</v>
      </c>
      <c r="V33" s="133">
        <v>975141.62</v>
      </c>
      <c r="W33" s="133">
        <v>930194.32</v>
      </c>
      <c r="X33" s="133">
        <v>907175.92</v>
      </c>
      <c r="Y33" s="133">
        <v>989176.55</v>
      </c>
      <c r="Z33" s="246">
        <v>5614220.5300000003</v>
      </c>
      <c r="AA33" s="6"/>
      <c r="AB33" s="238">
        <f>SUM(AB27:AB32)</f>
        <v>6046275.29</v>
      </c>
      <c r="AC33" s="229">
        <f>SUM(AC27:AC32)</f>
        <v>-432054.7599999996</v>
      </c>
      <c r="AD33" s="12">
        <f t="shared" si="3"/>
        <v>-7.1458003361934183E-2</v>
      </c>
    </row>
    <row r="34" spans="1:30" s="37" customFormat="1" x14ac:dyDescent="0.4">
      <c r="A34" s="36"/>
      <c r="B34" s="193"/>
      <c r="C34" s="256"/>
      <c r="D34"/>
      <c r="E34" s="192" t="s">
        <v>19</v>
      </c>
      <c r="F34" s="131"/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131"/>
      <c r="R34" s="237"/>
      <c r="S34" s="35"/>
      <c r="T34" s="131"/>
      <c r="U34" s="131"/>
      <c r="V34" s="131"/>
      <c r="W34" s="131"/>
      <c r="X34" s="131"/>
      <c r="Y34" s="131"/>
      <c r="Z34" s="245"/>
      <c r="AA34" s="33"/>
      <c r="AB34" s="237"/>
      <c r="AC34" s="7"/>
      <c r="AD34" s="8"/>
    </row>
    <row r="35" spans="1:30" x14ac:dyDescent="0.4">
      <c r="A35" s="1" t="s">
        <v>64</v>
      </c>
      <c r="B35" s="193" t="s">
        <v>63</v>
      </c>
      <c r="C35" s="256"/>
      <c r="D35"/>
      <c r="E35" s="192" t="s">
        <v>19</v>
      </c>
      <c r="F35" s="131"/>
      <c r="G35" s="131"/>
      <c r="H35" s="131"/>
      <c r="I35" s="131"/>
      <c r="J35" s="131"/>
      <c r="K35" s="131"/>
      <c r="L35" s="131"/>
      <c r="M35" s="131"/>
      <c r="N35" s="131"/>
      <c r="O35" s="131"/>
      <c r="P35" s="131"/>
      <c r="Q35" s="131"/>
      <c r="R35" s="237"/>
      <c r="S35" s="35"/>
      <c r="T35" s="131"/>
      <c r="U35" s="131"/>
      <c r="V35" s="131"/>
      <c r="W35" s="131"/>
      <c r="X35" s="131"/>
      <c r="Y35" s="131"/>
      <c r="Z35" s="245"/>
      <c r="AA35" s="3"/>
      <c r="AB35" s="237"/>
      <c r="AC35" s="4"/>
      <c r="AD35" s="5"/>
    </row>
    <row r="36" spans="1:30" x14ac:dyDescent="0.4">
      <c r="A36" s="1" t="s">
        <v>66</v>
      </c>
      <c r="B36" s="193" t="s">
        <v>65</v>
      </c>
      <c r="C36" s="256">
        <v>-1594272</v>
      </c>
      <c r="D36">
        <v>-132856</v>
      </c>
      <c r="E36" s="192" t="s">
        <v>19</v>
      </c>
      <c r="F36" s="132">
        <v>-132956</v>
      </c>
      <c r="G36" s="132">
        <v>-132956</v>
      </c>
      <c r="H36" s="132">
        <v>-132956</v>
      </c>
      <c r="I36" s="132">
        <v>-132956</v>
      </c>
      <c r="J36" s="132">
        <v>-132956</v>
      </c>
      <c r="K36" s="132">
        <v>-132956</v>
      </c>
      <c r="L36" s="132">
        <v>-132956</v>
      </c>
      <c r="M36" s="132">
        <v>-132956</v>
      </c>
      <c r="N36" s="132">
        <v>-132956</v>
      </c>
      <c r="O36" s="132">
        <v>-132956</v>
      </c>
      <c r="P36" s="132">
        <v>-132956</v>
      </c>
      <c r="Q36" s="132">
        <v>-132956</v>
      </c>
      <c r="R36" s="237">
        <v>-1595472</v>
      </c>
      <c r="S36" s="6"/>
      <c r="T36" s="132">
        <f>SUM(T132:T142)</f>
        <v>-136893.37</v>
      </c>
      <c r="U36" s="132">
        <f t="shared" ref="U36:Y36" si="7">SUM(U132:U142)</f>
        <v>-132956</v>
      </c>
      <c r="V36" s="132">
        <f t="shared" si="7"/>
        <v>-139003</v>
      </c>
      <c r="W36" s="132">
        <f t="shared" si="7"/>
        <v>-136872.66999999998</v>
      </c>
      <c r="X36" s="132">
        <f t="shared" si="7"/>
        <v>-136872.66999999998</v>
      </c>
      <c r="Y36" s="132">
        <f t="shared" si="7"/>
        <v>-132956</v>
      </c>
      <c r="Z36" s="247">
        <f>SUM(T36:Y36)</f>
        <v>-815553.71</v>
      </c>
      <c r="AA36" s="3"/>
      <c r="AB36" s="252">
        <f>SUM(F36:K36)</f>
        <v>-797736</v>
      </c>
      <c r="AC36" s="224">
        <f>+Z36-AB36</f>
        <v>-17817.709999999963</v>
      </c>
      <c r="AD36" s="8">
        <f t="shared" si="3"/>
        <v>2.2335346530681782E-2</v>
      </c>
    </row>
    <row r="37" spans="1:30" x14ac:dyDescent="0.4">
      <c r="A37" s="1" t="s">
        <v>68</v>
      </c>
      <c r="B37" s="193" t="s">
        <v>67</v>
      </c>
      <c r="C37" s="256">
        <v>1460619.42</v>
      </c>
      <c r="D37">
        <v>121718.285</v>
      </c>
      <c r="E37" s="192" t="s">
        <v>19</v>
      </c>
      <c r="F37" s="132">
        <v>115576</v>
      </c>
      <c r="G37" s="132">
        <v>115576</v>
      </c>
      <c r="H37" s="132">
        <v>115576</v>
      </c>
      <c r="I37" s="132">
        <v>115576</v>
      </c>
      <c r="J37" s="132">
        <v>115576</v>
      </c>
      <c r="K37" s="132">
        <v>115576</v>
      </c>
      <c r="L37" s="132">
        <v>115576</v>
      </c>
      <c r="M37" s="132">
        <v>115576</v>
      </c>
      <c r="N37" s="132">
        <v>115576</v>
      </c>
      <c r="O37" s="132">
        <v>115576</v>
      </c>
      <c r="P37" s="132">
        <v>115576</v>
      </c>
      <c r="Q37" s="132">
        <v>115576</v>
      </c>
      <c r="R37" s="237">
        <v>1386912</v>
      </c>
      <c r="S37" s="6"/>
      <c r="T37" s="132">
        <f>+T143</f>
        <v>119513.37</v>
      </c>
      <c r="U37" s="132">
        <f t="shared" ref="U37:Y37" si="8">+U143</f>
        <v>115576</v>
      </c>
      <c r="V37" s="132">
        <f t="shared" si="8"/>
        <v>121623</v>
      </c>
      <c r="W37" s="132">
        <f t="shared" si="8"/>
        <v>119492.67</v>
      </c>
      <c r="X37" s="132">
        <f t="shared" si="8"/>
        <v>119492.67</v>
      </c>
      <c r="Y37" s="132">
        <f t="shared" si="8"/>
        <v>115576</v>
      </c>
      <c r="Z37" s="247">
        <f t="shared" ref="Z37:Z38" si="9">SUM(T37:Y37)</f>
        <v>711273.71</v>
      </c>
      <c r="AA37" s="6"/>
      <c r="AB37" s="252">
        <f>SUM(F37:K37)</f>
        <v>693456</v>
      </c>
      <c r="AC37" s="224">
        <f t="shared" ref="AC37:AC38" si="10">+Z37-AB37</f>
        <v>17817.709999999963</v>
      </c>
      <c r="AD37" s="8">
        <f t="shared" ref="AD37:AD38" si="11">+AC37/AB37</f>
        <v>2.5694074317620674E-2</v>
      </c>
    </row>
    <row r="38" spans="1:30" x14ac:dyDescent="0.4">
      <c r="A38" s="1"/>
      <c r="B38" s="193" t="s">
        <v>69</v>
      </c>
      <c r="C38" s="257">
        <v>213470</v>
      </c>
      <c r="D38">
        <v>17789.166666666668</v>
      </c>
      <c r="E38" s="192" t="s">
        <v>19</v>
      </c>
      <c r="F38" s="133">
        <v>17380</v>
      </c>
      <c r="G38" s="133">
        <v>17380</v>
      </c>
      <c r="H38" s="133">
        <v>17380</v>
      </c>
      <c r="I38" s="133">
        <v>17380</v>
      </c>
      <c r="J38" s="133">
        <v>17380</v>
      </c>
      <c r="K38" s="133">
        <v>17380</v>
      </c>
      <c r="L38" s="133">
        <v>17380</v>
      </c>
      <c r="M38" s="133">
        <v>17380</v>
      </c>
      <c r="N38" s="133">
        <v>17380</v>
      </c>
      <c r="O38" s="133">
        <v>17380</v>
      </c>
      <c r="P38" s="133">
        <v>17380</v>
      </c>
      <c r="Q38" s="133">
        <v>17380</v>
      </c>
      <c r="R38" s="238">
        <v>208560</v>
      </c>
      <c r="S38" s="6"/>
      <c r="T38" s="133">
        <f>+T144</f>
        <v>17380</v>
      </c>
      <c r="U38" s="133">
        <f t="shared" ref="U38:Y38" si="12">+U144</f>
        <v>17380</v>
      </c>
      <c r="V38" s="133">
        <f t="shared" si="12"/>
        <v>17380</v>
      </c>
      <c r="W38" s="133">
        <f t="shared" si="12"/>
        <v>17380</v>
      </c>
      <c r="X38" s="133">
        <f t="shared" si="12"/>
        <v>17380</v>
      </c>
      <c r="Y38" s="133">
        <f t="shared" si="12"/>
        <v>17380</v>
      </c>
      <c r="Z38" s="248">
        <f t="shared" si="9"/>
        <v>104280</v>
      </c>
      <c r="AA38" s="6"/>
      <c r="AB38" s="253">
        <f>SUM(F38:K38)</f>
        <v>104280</v>
      </c>
      <c r="AC38" s="11">
        <f t="shared" si="10"/>
        <v>0</v>
      </c>
      <c r="AD38" s="12">
        <f t="shared" si="11"/>
        <v>0</v>
      </c>
    </row>
    <row r="39" spans="1:30" x14ac:dyDescent="0.4">
      <c r="A39" s="1"/>
      <c r="B39" s="193" t="s">
        <v>70</v>
      </c>
      <c r="C39" s="257">
        <v>79817.42</v>
      </c>
      <c r="D39">
        <v>6651.4516666666668</v>
      </c>
      <c r="E39" s="192" t="s">
        <v>19</v>
      </c>
      <c r="F39" s="133">
        <f>SUM(F36:F38)</f>
        <v>0</v>
      </c>
      <c r="G39" s="133">
        <f t="shared" ref="G39:R39" si="13">SUM(G36:G38)</f>
        <v>0</v>
      </c>
      <c r="H39" s="133">
        <f t="shared" si="13"/>
        <v>0</v>
      </c>
      <c r="I39" s="133">
        <f t="shared" si="13"/>
        <v>0</v>
      </c>
      <c r="J39" s="133">
        <f t="shared" si="13"/>
        <v>0</v>
      </c>
      <c r="K39" s="133">
        <f t="shared" si="13"/>
        <v>0</v>
      </c>
      <c r="L39" s="133">
        <f t="shared" si="13"/>
        <v>0</v>
      </c>
      <c r="M39" s="133">
        <f t="shared" si="13"/>
        <v>0</v>
      </c>
      <c r="N39" s="133">
        <f t="shared" si="13"/>
        <v>0</v>
      </c>
      <c r="O39" s="133">
        <f t="shared" si="13"/>
        <v>0</v>
      </c>
      <c r="P39" s="133">
        <f t="shared" si="13"/>
        <v>0</v>
      </c>
      <c r="Q39" s="133">
        <f t="shared" si="13"/>
        <v>0</v>
      </c>
      <c r="R39" s="238">
        <f t="shared" si="13"/>
        <v>0</v>
      </c>
      <c r="S39" s="6"/>
      <c r="T39" s="133">
        <f>SUM(T36:T38)</f>
        <v>0</v>
      </c>
      <c r="U39" s="133">
        <f t="shared" ref="U39:Z39" si="14">SUM(U36:U38)</f>
        <v>0</v>
      </c>
      <c r="V39" s="133">
        <f t="shared" si="14"/>
        <v>0</v>
      </c>
      <c r="W39" s="133">
        <f t="shared" si="14"/>
        <v>0</v>
      </c>
      <c r="X39" s="133">
        <f t="shared" si="14"/>
        <v>0</v>
      </c>
      <c r="Y39" s="133">
        <f t="shared" si="14"/>
        <v>0</v>
      </c>
      <c r="Z39" s="246">
        <f t="shared" si="14"/>
        <v>0</v>
      </c>
      <c r="AA39" s="33"/>
      <c r="AB39" s="238">
        <f>SUM(AB36:AB38)</f>
        <v>0</v>
      </c>
      <c r="AC39" s="229">
        <f>SUM(AC36:AC38)</f>
        <v>0</v>
      </c>
      <c r="AD39" s="12" t="e">
        <f t="shared" si="3"/>
        <v>#DIV/0!</v>
      </c>
    </row>
    <row r="40" spans="1:30" x14ac:dyDescent="0.4">
      <c r="A40" s="1"/>
      <c r="B40" s="193"/>
      <c r="C40" s="256"/>
      <c r="D40"/>
      <c r="E40" s="192" t="s">
        <v>19</v>
      </c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237"/>
      <c r="S40" s="35"/>
      <c r="T40" s="131"/>
      <c r="U40" s="131"/>
      <c r="V40" s="131"/>
      <c r="W40" s="131"/>
      <c r="X40" s="131"/>
      <c r="Y40" s="131"/>
      <c r="Z40" s="245"/>
      <c r="AA40" s="6"/>
      <c r="AB40" s="237"/>
      <c r="AC40" s="4"/>
      <c r="AD40" s="5"/>
    </row>
    <row r="41" spans="1:30" x14ac:dyDescent="0.4">
      <c r="A41" s="1"/>
      <c r="B41" s="193" t="s">
        <v>71</v>
      </c>
      <c r="C41" s="257">
        <v>10420589.52</v>
      </c>
      <c r="D41">
        <v>868382.46</v>
      </c>
      <c r="E41" s="192" t="s">
        <v>19</v>
      </c>
      <c r="F41" s="133">
        <v>1035142.03</v>
      </c>
      <c r="G41" s="133">
        <v>974903.09</v>
      </c>
      <c r="H41" s="133">
        <v>959162.28</v>
      </c>
      <c r="I41" s="133">
        <v>1005436.63</v>
      </c>
      <c r="J41" s="133">
        <v>1078519.3600000001</v>
      </c>
      <c r="K41" s="133">
        <v>993111.9</v>
      </c>
      <c r="L41" s="133">
        <v>886683.34</v>
      </c>
      <c r="M41" s="133">
        <v>916414.34</v>
      </c>
      <c r="N41" s="133">
        <v>922246.8</v>
      </c>
      <c r="O41" s="133">
        <v>913426.38</v>
      </c>
      <c r="P41" s="133">
        <v>858685.57</v>
      </c>
      <c r="Q41" s="133">
        <v>944696.76</v>
      </c>
      <c r="R41" s="238">
        <v>11488428.48</v>
      </c>
      <c r="S41" s="6"/>
      <c r="T41" s="133">
        <f>+T33+T39</f>
        <v>885303.13</v>
      </c>
      <c r="U41" s="133">
        <f t="shared" ref="U41:Z41" si="15">+U33+U39</f>
        <v>927228.99</v>
      </c>
      <c r="V41" s="133">
        <f t="shared" si="15"/>
        <v>975141.62</v>
      </c>
      <c r="W41" s="133">
        <f t="shared" si="15"/>
        <v>930194.32</v>
      </c>
      <c r="X41" s="133">
        <f t="shared" si="15"/>
        <v>907175.92</v>
      </c>
      <c r="Y41" s="133">
        <f t="shared" si="15"/>
        <v>989176.55</v>
      </c>
      <c r="Z41" s="246">
        <f t="shared" si="15"/>
        <v>5614220.5300000003</v>
      </c>
      <c r="AA41" s="231"/>
      <c r="AB41" s="238">
        <f>SUM(F41:K41)</f>
        <v>6046275.290000001</v>
      </c>
      <c r="AC41" s="11">
        <f>+Z44-AB41</f>
        <v>-6046275.290000001</v>
      </c>
      <c r="AD41" s="12">
        <f t="shared" si="3"/>
        <v>-1</v>
      </c>
    </row>
    <row r="42" spans="1:30" x14ac:dyDescent="0.4">
      <c r="A42" s="1"/>
      <c r="B42" s="193"/>
      <c r="C42" s="256"/>
      <c r="D42"/>
      <c r="E42" s="192" t="s">
        <v>19</v>
      </c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237"/>
      <c r="S42" s="6"/>
      <c r="T42" s="134"/>
      <c r="U42" s="134"/>
      <c r="V42" s="134"/>
      <c r="W42" s="134"/>
      <c r="X42" s="134"/>
      <c r="Y42" s="134"/>
      <c r="Z42" s="246"/>
      <c r="AA42" s="6"/>
      <c r="AB42" s="237"/>
      <c r="AC42" s="4"/>
      <c r="AD42" s="5"/>
    </row>
    <row r="43" spans="1:30" ht="15" thickBot="1" x14ac:dyDescent="0.45">
      <c r="A43" s="1"/>
      <c r="B43" s="193" t="s">
        <v>72</v>
      </c>
      <c r="C43" s="258">
        <v>2028678.45</v>
      </c>
      <c r="D43">
        <v>169056.53750000001</v>
      </c>
      <c r="E43" s="192" t="s">
        <v>19</v>
      </c>
      <c r="F43" s="185">
        <v>250468.46</v>
      </c>
      <c r="G43" s="185">
        <v>-223850.48</v>
      </c>
      <c r="H43" s="185">
        <v>262658.26</v>
      </c>
      <c r="I43" s="185">
        <v>-293935.15999999997</v>
      </c>
      <c r="J43" s="185">
        <v>124039.82</v>
      </c>
      <c r="K43" s="185">
        <v>-70389.850000000006</v>
      </c>
      <c r="L43" s="185">
        <v>-335958.68</v>
      </c>
      <c r="M43" s="185">
        <v>203082.06</v>
      </c>
      <c r="N43" s="185">
        <v>-100626.9</v>
      </c>
      <c r="O43" s="185">
        <v>-399008.86</v>
      </c>
      <c r="P43" s="185">
        <v>66372.72</v>
      </c>
      <c r="Q43" s="185">
        <v>-376214.7</v>
      </c>
      <c r="R43" s="239">
        <v>-893363.31</v>
      </c>
      <c r="S43" s="35"/>
      <c r="T43" s="135">
        <f>+T24-T41</f>
        <v>218637.79999999993</v>
      </c>
      <c r="U43" s="135">
        <f t="shared" ref="U43:Z43" si="16">+U24-U41</f>
        <v>-330780.04000000004</v>
      </c>
      <c r="V43" s="135">
        <f t="shared" si="16"/>
        <v>286128.12</v>
      </c>
      <c r="W43" s="135">
        <f t="shared" si="16"/>
        <v>934118.67</v>
      </c>
      <c r="X43" s="135">
        <f t="shared" si="16"/>
        <v>122946.17999999993</v>
      </c>
      <c r="Y43" s="135">
        <f t="shared" si="16"/>
        <v>143299.96999999997</v>
      </c>
      <c r="Z43" s="249">
        <f t="shared" si="16"/>
        <v>1374350.7000000002</v>
      </c>
      <c r="AA43" s="33"/>
      <c r="AB43" s="239">
        <f>SUM(F43:K43)</f>
        <v>48991.050000000017</v>
      </c>
      <c r="AC43" s="13">
        <f>+Z43-AB43</f>
        <v>1325359.6500000001</v>
      </c>
      <c r="AD43" s="14">
        <f t="shared" si="3"/>
        <v>27.053097453514461</v>
      </c>
    </row>
    <row r="44" spans="1:30" ht="15" thickTop="1" x14ac:dyDescent="0.4">
      <c r="A44" s="1"/>
      <c r="B44" s="193"/>
      <c r="C44" s="256"/>
      <c r="D44"/>
      <c r="E44" s="192" t="s">
        <v>19</v>
      </c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237"/>
      <c r="S44" s="6"/>
      <c r="T44" s="131"/>
      <c r="U44" s="131"/>
      <c r="V44" s="131"/>
      <c r="W44" s="131"/>
      <c r="X44" s="131"/>
      <c r="Y44" s="131"/>
      <c r="Z44" s="245"/>
      <c r="AA44" s="33"/>
      <c r="AB44" s="237"/>
      <c r="AC44" s="4"/>
      <c r="AD44" s="5"/>
    </row>
    <row r="45" spans="1:30" x14ac:dyDescent="0.4">
      <c r="A45" s="1"/>
      <c r="B45" s="193" t="s">
        <v>73</v>
      </c>
      <c r="C45" s="256"/>
      <c r="D45"/>
      <c r="E45" s="192" t="s">
        <v>19</v>
      </c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237"/>
      <c r="S45" s="6"/>
      <c r="T45" s="131"/>
      <c r="U45" s="131"/>
      <c r="V45" s="131"/>
      <c r="W45" s="131"/>
      <c r="X45" s="131"/>
      <c r="Y45" s="131"/>
      <c r="Z45" s="245"/>
      <c r="AA45" s="33"/>
      <c r="AB45" s="237"/>
      <c r="AC45" s="4"/>
      <c r="AD45" s="5"/>
    </row>
    <row r="46" spans="1:30" x14ac:dyDescent="0.4">
      <c r="A46" s="1" t="s">
        <v>75</v>
      </c>
      <c r="B46" s="193" t="s">
        <v>74</v>
      </c>
      <c r="C46" s="256"/>
      <c r="D46"/>
      <c r="E46" s="192" t="s">
        <v>19</v>
      </c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31"/>
      <c r="Q46" s="131"/>
      <c r="R46" s="237"/>
      <c r="S46" s="6"/>
      <c r="T46" s="131"/>
      <c r="U46" s="131"/>
      <c r="V46" s="131"/>
      <c r="W46" s="131"/>
      <c r="X46" s="131"/>
      <c r="Y46" s="131"/>
      <c r="Z46" s="245"/>
      <c r="AA46" s="3"/>
      <c r="AB46" s="237"/>
      <c r="AC46" s="4"/>
      <c r="AD46" s="5"/>
    </row>
    <row r="47" spans="1:30" x14ac:dyDescent="0.4">
      <c r="A47" s="1" t="s">
        <v>77</v>
      </c>
      <c r="B47" s="193" t="s">
        <v>76</v>
      </c>
      <c r="C47" s="256">
        <v>4953520.34</v>
      </c>
      <c r="D47">
        <v>412793.36166666669</v>
      </c>
      <c r="E47" s="192" t="s">
        <v>19</v>
      </c>
      <c r="F47" s="132">
        <v>405425.8</v>
      </c>
      <c r="G47" s="132">
        <v>401996.29</v>
      </c>
      <c r="H47" s="132">
        <v>400046.53</v>
      </c>
      <c r="I47" s="132">
        <v>398553.32</v>
      </c>
      <c r="J47" s="132">
        <v>409480.69</v>
      </c>
      <c r="K47" s="132">
        <v>405446.56</v>
      </c>
      <c r="L47" s="132">
        <v>397947.29</v>
      </c>
      <c r="M47" s="132">
        <v>399654.83</v>
      </c>
      <c r="N47" s="132">
        <v>391346.09</v>
      </c>
      <c r="O47" s="132">
        <v>392812.74</v>
      </c>
      <c r="P47" s="132">
        <v>388000.87</v>
      </c>
      <c r="Q47" s="132">
        <v>407187.84</v>
      </c>
      <c r="R47" s="237">
        <v>4797898.8499999996</v>
      </c>
      <c r="S47" s="6"/>
      <c r="T47" s="132">
        <v>410929.06</v>
      </c>
      <c r="U47" s="132">
        <v>412227.69</v>
      </c>
      <c r="V47" s="132">
        <v>427929.18</v>
      </c>
      <c r="W47" s="132">
        <v>395910.48</v>
      </c>
      <c r="X47" s="132">
        <v>370440.03</v>
      </c>
      <c r="Y47" s="132">
        <v>371966.98</v>
      </c>
      <c r="Z47" s="245">
        <v>2389403.42</v>
      </c>
      <c r="AA47" s="3"/>
      <c r="AB47" s="252">
        <f t="shared" ref="AB47:AB53" si="17">SUM(F47:K47)</f>
        <v>2420949.19</v>
      </c>
      <c r="AC47" s="224">
        <f>Z47-AB47</f>
        <v>-31545.770000000019</v>
      </c>
      <c r="AD47" s="8">
        <f t="shared" ref="AD47" si="18">+AC47/AB47</f>
        <v>-1.3030331297452806E-2</v>
      </c>
    </row>
    <row r="48" spans="1:30" x14ac:dyDescent="0.4">
      <c r="A48" s="1" t="s">
        <v>79</v>
      </c>
      <c r="B48" s="193" t="s">
        <v>78</v>
      </c>
      <c r="C48" s="256">
        <v>377259.22</v>
      </c>
      <c r="D48">
        <v>31438.268333333333</v>
      </c>
      <c r="E48" s="192" t="s">
        <v>19</v>
      </c>
      <c r="F48" s="132">
        <v>35479.08</v>
      </c>
      <c r="G48" s="132">
        <v>30563.919999999998</v>
      </c>
      <c r="H48" s="132">
        <v>30333.87</v>
      </c>
      <c r="I48" s="132">
        <v>30438.49</v>
      </c>
      <c r="J48" s="132">
        <v>31142.91</v>
      </c>
      <c r="K48" s="132">
        <v>30857.279999999999</v>
      </c>
      <c r="L48" s="132">
        <v>30400.94</v>
      </c>
      <c r="M48" s="132">
        <v>30250.7</v>
      </c>
      <c r="N48" s="132">
        <v>29811.67</v>
      </c>
      <c r="O48" s="132">
        <v>29496.97</v>
      </c>
      <c r="P48" s="132">
        <v>30306.61</v>
      </c>
      <c r="Q48" s="132">
        <v>29473.03</v>
      </c>
      <c r="R48" s="237">
        <v>368555.47</v>
      </c>
      <c r="S48" s="6"/>
      <c r="T48" s="132">
        <v>31352.97</v>
      </c>
      <c r="U48" s="132">
        <v>31506.5</v>
      </c>
      <c r="V48" s="132">
        <v>32709.41</v>
      </c>
      <c r="W48" s="132">
        <v>32924.06</v>
      </c>
      <c r="X48" s="132">
        <v>27831.42</v>
      </c>
      <c r="Y48" s="132">
        <v>28664.95</v>
      </c>
      <c r="Z48" s="245">
        <v>184989.31</v>
      </c>
      <c r="AA48" s="3"/>
      <c r="AB48" s="252">
        <f t="shared" si="17"/>
        <v>188815.55</v>
      </c>
      <c r="AC48" s="224">
        <f t="shared" ref="AC48:AC53" si="19">Z48-AB48</f>
        <v>-3826.2399999999907</v>
      </c>
      <c r="AD48" s="8">
        <f t="shared" ref="AD48:AD53" si="20">+AC48/AB48</f>
        <v>-2.0264432669872746E-2</v>
      </c>
    </row>
    <row r="49" spans="1:30" x14ac:dyDescent="0.4">
      <c r="A49" s="1" t="s">
        <v>81</v>
      </c>
      <c r="B49" s="193" t="s">
        <v>80</v>
      </c>
      <c r="C49" s="256">
        <v>48031.14</v>
      </c>
      <c r="D49">
        <v>4002.5949999999998</v>
      </c>
      <c r="E49" s="192" t="s">
        <v>19</v>
      </c>
      <c r="F49" s="132">
        <v>1084.67</v>
      </c>
      <c r="G49" s="132">
        <v>654.72</v>
      </c>
      <c r="H49" s="132">
        <v>514.91</v>
      </c>
      <c r="I49" s="132">
        <v>24479.26</v>
      </c>
      <c r="J49" s="132">
        <v>17728.560000000001</v>
      </c>
      <c r="K49" s="132">
        <v>5287.39</v>
      </c>
      <c r="L49" s="132">
        <v>2072.11</v>
      </c>
      <c r="M49" s="132">
        <v>1472.15</v>
      </c>
      <c r="N49" s="132">
        <v>1313.43</v>
      </c>
      <c r="O49" s="132">
        <v>976.94</v>
      </c>
      <c r="P49" s="132">
        <v>951.34</v>
      </c>
      <c r="Q49" s="132">
        <v>712.29</v>
      </c>
      <c r="R49" s="237">
        <v>57247.77</v>
      </c>
      <c r="S49" s="6"/>
      <c r="T49" s="132">
        <v>635.30999999999995</v>
      </c>
      <c r="U49" s="132">
        <v>584.28</v>
      </c>
      <c r="V49" s="132">
        <v>777.1</v>
      </c>
      <c r="W49" s="132">
        <v>21318.49</v>
      </c>
      <c r="X49" s="132">
        <v>15972.51</v>
      </c>
      <c r="Y49" s="132">
        <v>5469.16</v>
      </c>
      <c r="Z49" s="245">
        <v>44756.85</v>
      </c>
      <c r="AA49" s="3"/>
      <c r="AB49" s="252">
        <f t="shared" si="17"/>
        <v>49749.509999999995</v>
      </c>
      <c r="AC49" s="224">
        <f t="shared" si="19"/>
        <v>-4992.6599999999962</v>
      </c>
      <c r="AD49" s="8">
        <f t="shared" si="20"/>
        <v>-0.10035596330496514</v>
      </c>
    </row>
    <row r="50" spans="1:30" x14ac:dyDescent="0.4">
      <c r="A50" s="1" t="s">
        <v>83</v>
      </c>
      <c r="B50" s="193" t="s">
        <v>82</v>
      </c>
      <c r="C50" s="256">
        <v>100927.17</v>
      </c>
      <c r="D50">
        <v>8410.5974999999999</v>
      </c>
      <c r="E50" s="192" t="s">
        <v>19</v>
      </c>
      <c r="F50" s="132">
        <v>8483.64</v>
      </c>
      <c r="G50" s="132">
        <v>8289.15</v>
      </c>
      <c r="H50" s="132">
        <v>8277.9599999999991</v>
      </c>
      <c r="I50" s="132">
        <v>7308.19</v>
      </c>
      <c r="J50" s="132">
        <v>8120.99</v>
      </c>
      <c r="K50" s="132">
        <v>8074.36</v>
      </c>
      <c r="L50" s="132">
        <v>7955.07</v>
      </c>
      <c r="M50" s="132">
        <v>7993.09</v>
      </c>
      <c r="N50" s="132">
        <v>7801</v>
      </c>
      <c r="O50" s="132">
        <v>7718.73</v>
      </c>
      <c r="P50" s="132">
        <v>8270.07</v>
      </c>
      <c r="Q50" s="132">
        <v>7712.48</v>
      </c>
      <c r="R50" s="237">
        <v>96004.73</v>
      </c>
      <c r="S50" s="6"/>
      <c r="T50" s="132">
        <v>8203.9599999999991</v>
      </c>
      <c r="U50" s="132">
        <v>7689.01</v>
      </c>
      <c r="V50" s="132">
        <v>8558.57</v>
      </c>
      <c r="W50" s="132">
        <v>7918.2</v>
      </c>
      <c r="X50" s="132">
        <v>7380.76</v>
      </c>
      <c r="Y50" s="132">
        <v>7427.33</v>
      </c>
      <c r="Z50" s="245">
        <v>47177.83</v>
      </c>
      <c r="AA50" s="3"/>
      <c r="AB50" s="252">
        <f t="shared" si="17"/>
        <v>48554.29</v>
      </c>
      <c r="AC50" s="224">
        <f t="shared" si="19"/>
        <v>-1376.4599999999991</v>
      </c>
      <c r="AD50" s="8">
        <f t="shared" si="20"/>
        <v>-2.8348885340512633E-2</v>
      </c>
    </row>
    <row r="51" spans="1:30" x14ac:dyDescent="0.4">
      <c r="A51" s="1" t="s">
        <v>85</v>
      </c>
      <c r="B51" s="193" t="s">
        <v>84</v>
      </c>
      <c r="C51" s="256">
        <v>53302.97</v>
      </c>
      <c r="D51">
        <v>4441.9141666666665</v>
      </c>
      <c r="E51" s="192" t="s">
        <v>19</v>
      </c>
      <c r="F51" s="132">
        <v>4877.4799999999996</v>
      </c>
      <c r="G51" s="132">
        <v>4726.03</v>
      </c>
      <c r="H51" s="132">
        <v>4538.54</v>
      </c>
      <c r="I51" s="132">
        <v>4616.29</v>
      </c>
      <c r="J51" s="132">
        <v>4728.3999999999996</v>
      </c>
      <c r="K51" s="132">
        <v>4925.68</v>
      </c>
      <c r="L51" s="132">
        <v>4759.84</v>
      </c>
      <c r="M51" s="132">
        <v>4901.37</v>
      </c>
      <c r="N51" s="132">
        <v>4480.57</v>
      </c>
      <c r="O51" s="132">
        <v>4488.45</v>
      </c>
      <c r="P51" s="132">
        <v>4532.4799999999996</v>
      </c>
      <c r="Q51" s="132">
        <v>4575.88</v>
      </c>
      <c r="R51" s="237">
        <v>56151.01</v>
      </c>
      <c r="S51" s="35"/>
      <c r="T51" s="132">
        <v>4748.83</v>
      </c>
      <c r="U51" s="132">
        <v>4449.72</v>
      </c>
      <c r="V51" s="132">
        <v>4492.4799999999996</v>
      </c>
      <c r="W51" s="132">
        <v>4702.87</v>
      </c>
      <c r="X51" s="132">
        <v>4570.37</v>
      </c>
      <c r="Y51" s="132">
        <v>4642.1899999999996</v>
      </c>
      <c r="Z51" s="245">
        <v>27606.46</v>
      </c>
      <c r="AA51" s="3"/>
      <c r="AB51" s="252">
        <f t="shared" si="17"/>
        <v>28412.42</v>
      </c>
      <c r="AC51" s="224">
        <f t="shared" si="19"/>
        <v>-805.95999999999913</v>
      </c>
      <c r="AD51" s="8">
        <f t="shared" si="20"/>
        <v>-2.8366467903825129E-2</v>
      </c>
    </row>
    <row r="52" spans="1:30" x14ac:dyDescent="0.4">
      <c r="A52" s="1" t="s">
        <v>87</v>
      </c>
      <c r="B52" s="193" t="s">
        <v>86</v>
      </c>
      <c r="C52" s="256">
        <v>1134238.81</v>
      </c>
      <c r="D52">
        <v>94519.900833333333</v>
      </c>
      <c r="E52" s="192" t="s">
        <v>19</v>
      </c>
      <c r="F52" s="132">
        <v>101357.95</v>
      </c>
      <c r="G52" s="132">
        <v>97126.09</v>
      </c>
      <c r="H52" s="132">
        <v>103708.15</v>
      </c>
      <c r="I52" s="132">
        <v>99362.87</v>
      </c>
      <c r="J52" s="132">
        <v>95798.61</v>
      </c>
      <c r="K52" s="132">
        <v>94283.25</v>
      </c>
      <c r="L52" s="132">
        <v>99610.08</v>
      </c>
      <c r="M52" s="132">
        <v>98471.35</v>
      </c>
      <c r="N52" s="132">
        <v>99918.97</v>
      </c>
      <c r="O52" s="132">
        <v>98721.33</v>
      </c>
      <c r="P52" s="132">
        <v>100965.47</v>
      </c>
      <c r="Q52" s="132">
        <v>96050.57</v>
      </c>
      <c r="R52" s="237">
        <v>1185374.69</v>
      </c>
      <c r="S52" s="35"/>
      <c r="T52" s="132">
        <v>92769.2</v>
      </c>
      <c r="U52" s="132">
        <v>98027.15</v>
      </c>
      <c r="V52" s="132">
        <v>105425.13</v>
      </c>
      <c r="W52" s="132">
        <v>103588.99</v>
      </c>
      <c r="X52" s="132">
        <v>93920.68</v>
      </c>
      <c r="Y52" s="132">
        <v>94804.2</v>
      </c>
      <c r="Z52" s="245">
        <v>588535.35</v>
      </c>
      <c r="AA52" s="6"/>
      <c r="AB52" s="252">
        <f t="shared" si="17"/>
        <v>591636.91999999993</v>
      </c>
      <c r="AC52" s="224">
        <f t="shared" si="19"/>
        <v>-3101.5699999999488</v>
      </c>
      <c r="AD52" s="8">
        <f t="shared" si="20"/>
        <v>-5.2423537057152371E-3</v>
      </c>
    </row>
    <row r="53" spans="1:30" x14ac:dyDescent="0.4">
      <c r="A53" s="1"/>
      <c r="B53" s="193" t="s">
        <v>88</v>
      </c>
      <c r="C53" s="257">
        <v>15430</v>
      </c>
      <c r="D53">
        <v>1285.8333333333333</v>
      </c>
      <c r="E53" s="192" t="s">
        <v>19</v>
      </c>
      <c r="F53" s="133">
        <v>375</v>
      </c>
      <c r="G53" s="133">
        <v>1265</v>
      </c>
      <c r="H53" s="133">
        <v>1265</v>
      </c>
      <c r="I53" s="133">
        <v>1265</v>
      </c>
      <c r="J53" s="133">
        <v>1265</v>
      </c>
      <c r="K53" s="133">
        <v>1015</v>
      </c>
      <c r="L53" s="133">
        <v>890</v>
      </c>
      <c r="M53" s="133">
        <v>890</v>
      </c>
      <c r="N53" s="133">
        <v>1015</v>
      </c>
      <c r="O53" s="133">
        <v>890</v>
      </c>
      <c r="P53" s="133">
        <v>1015</v>
      </c>
      <c r="Q53" s="133">
        <v>1015</v>
      </c>
      <c r="R53" s="238">
        <v>12165</v>
      </c>
      <c r="S53" s="35"/>
      <c r="T53" s="133">
        <v>1015</v>
      </c>
      <c r="U53" s="133">
        <v>1725</v>
      </c>
      <c r="V53" s="133">
        <v>925</v>
      </c>
      <c r="W53" s="133">
        <v>2800</v>
      </c>
      <c r="X53" s="133">
        <v>800</v>
      </c>
      <c r="Y53" s="133">
        <v>1050</v>
      </c>
      <c r="Z53" s="246">
        <v>8315</v>
      </c>
      <c r="AA53" s="6"/>
      <c r="AB53" s="253">
        <f t="shared" si="17"/>
        <v>6450</v>
      </c>
      <c r="AC53" s="11">
        <f t="shared" si="19"/>
        <v>1865</v>
      </c>
      <c r="AD53" s="12">
        <f t="shared" si="20"/>
        <v>0.28914728682170543</v>
      </c>
    </row>
    <row r="54" spans="1:30" x14ac:dyDescent="0.4">
      <c r="A54" s="1"/>
      <c r="B54" s="193" t="s">
        <v>89</v>
      </c>
      <c r="C54" s="257">
        <v>6682709.6500000004</v>
      </c>
      <c r="D54">
        <v>556892.47083333333</v>
      </c>
      <c r="E54" s="192" t="s">
        <v>19</v>
      </c>
      <c r="F54" s="133">
        <v>557083.62</v>
      </c>
      <c r="G54" s="133">
        <v>544621.19999999995</v>
      </c>
      <c r="H54" s="133">
        <v>548684.96</v>
      </c>
      <c r="I54" s="133">
        <v>566023.42000000004</v>
      </c>
      <c r="J54" s="133">
        <v>568265.16</v>
      </c>
      <c r="K54" s="133">
        <v>549889.52</v>
      </c>
      <c r="L54" s="133">
        <v>543635.32999999996</v>
      </c>
      <c r="M54" s="133">
        <v>543633.49</v>
      </c>
      <c r="N54" s="133">
        <v>535686.73</v>
      </c>
      <c r="O54" s="133">
        <v>535105.16</v>
      </c>
      <c r="P54" s="133">
        <v>534041.84</v>
      </c>
      <c r="Q54" s="133">
        <v>546727.09</v>
      </c>
      <c r="R54" s="238">
        <v>6573397.5199999996</v>
      </c>
      <c r="S54" s="6"/>
      <c r="T54" s="133">
        <v>549654.32999999996</v>
      </c>
      <c r="U54" s="133">
        <v>556209.35</v>
      </c>
      <c r="V54" s="133">
        <v>580816.87</v>
      </c>
      <c r="W54" s="133">
        <v>569163.09</v>
      </c>
      <c r="X54" s="133">
        <v>520915.77</v>
      </c>
      <c r="Y54" s="133">
        <v>514024.81</v>
      </c>
      <c r="Z54" s="246">
        <v>3290784.22</v>
      </c>
      <c r="AA54" s="33"/>
      <c r="AB54" s="238">
        <f>SUM(AB47:AB53)</f>
        <v>3334567.8799999994</v>
      </c>
      <c r="AC54" s="229">
        <f>SUM(AC47:AC53)</f>
        <v>-43783.659999999953</v>
      </c>
      <c r="AD54" s="12">
        <f t="shared" si="3"/>
        <v>-1.3130235033631992E-2</v>
      </c>
    </row>
    <row r="55" spans="1:30" x14ac:dyDescent="0.4">
      <c r="A55" s="1"/>
      <c r="B55" s="193"/>
      <c r="C55" s="256"/>
      <c r="D55"/>
      <c r="E55" s="192" t="s">
        <v>19</v>
      </c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237"/>
      <c r="S55" s="35"/>
      <c r="T55" s="131"/>
      <c r="U55" s="131"/>
      <c r="V55" s="131"/>
      <c r="W55" s="131"/>
      <c r="X55" s="131"/>
      <c r="Y55" s="131"/>
      <c r="Z55" s="245"/>
      <c r="AA55" s="33"/>
      <c r="AB55" s="237"/>
      <c r="AC55" s="4"/>
      <c r="AD55" s="5"/>
    </row>
    <row r="56" spans="1:30" x14ac:dyDescent="0.4">
      <c r="A56" s="1"/>
      <c r="B56" s="193" t="s">
        <v>57</v>
      </c>
      <c r="C56" s="256"/>
      <c r="D56"/>
      <c r="E56" s="192" t="s">
        <v>19</v>
      </c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1"/>
      <c r="Q56" s="131"/>
      <c r="R56" s="237"/>
      <c r="S56" s="6"/>
      <c r="T56" s="131"/>
      <c r="U56" s="131"/>
      <c r="V56" s="131"/>
      <c r="W56" s="131"/>
      <c r="X56" s="131"/>
      <c r="Y56" s="131"/>
      <c r="Z56" s="245"/>
      <c r="AA56" s="33"/>
      <c r="AB56" s="237"/>
      <c r="AC56" s="4"/>
      <c r="AD56" s="5"/>
    </row>
    <row r="57" spans="1:30" x14ac:dyDescent="0.4">
      <c r="A57" s="1" t="s">
        <v>91</v>
      </c>
      <c r="B57" s="193" t="s">
        <v>90</v>
      </c>
      <c r="C57" s="256"/>
      <c r="D57"/>
      <c r="E57" s="192" t="s">
        <v>19</v>
      </c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  <c r="R57" s="237"/>
      <c r="S57" s="35"/>
      <c r="T57" s="131"/>
      <c r="U57" s="131"/>
      <c r="V57" s="131"/>
      <c r="W57" s="131"/>
      <c r="X57" s="131"/>
      <c r="Y57" s="131"/>
      <c r="Z57" s="245"/>
      <c r="AA57" s="3"/>
      <c r="AB57" s="237"/>
      <c r="AC57" s="4"/>
      <c r="AD57" s="5"/>
    </row>
    <row r="58" spans="1:30" x14ac:dyDescent="0.4">
      <c r="A58" s="1" t="s">
        <v>93</v>
      </c>
      <c r="B58" s="193" t="s">
        <v>92</v>
      </c>
      <c r="C58" s="257">
        <v>2855.51</v>
      </c>
      <c r="D58">
        <v>237.9591666666667</v>
      </c>
      <c r="E58" s="192" t="s">
        <v>19</v>
      </c>
      <c r="F58" s="133">
        <v>2412.73</v>
      </c>
      <c r="G58" s="133">
        <v>1658.76</v>
      </c>
      <c r="H58" s="133">
        <v>2001.71</v>
      </c>
      <c r="I58" s="133">
        <v>266.45999999999998</v>
      </c>
      <c r="J58" s="133">
        <v>454.37</v>
      </c>
      <c r="K58" s="133">
        <v>337</v>
      </c>
      <c r="L58" s="133">
        <v>328.84</v>
      </c>
      <c r="M58" s="133">
        <v>213.1</v>
      </c>
      <c r="N58" s="133">
        <v>1246.1199999999999</v>
      </c>
      <c r="O58" s="133">
        <v>0.2</v>
      </c>
      <c r="P58" s="133">
        <v>1175</v>
      </c>
      <c r="Q58" s="133">
        <v>1191.1199999999999</v>
      </c>
      <c r="R58" s="238">
        <v>11285.41</v>
      </c>
      <c r="S58" s="35"/>
      <c r="T58" s="233"/>
      <c r="U58" s="207">
        <v>1.75</v>
      </c>
      <c r="V58" s="207">
        <v>1633.15</v>
      </c>
      <c r="W58" s="207">
        <v>969.89</v>
      </c>
      <c r="X58" s="207">
        <v>933.75</v>
      </c>
      <c r="Y58" s="207">
        <v>2272.62</v>
      </c>
      <c r="Z58" s="248">
        <v>5811.16</v>
      </c>
      <c r="AA58" s="35"/>
      <c r="AB58" s="253">
        <f>SUM(F58:K58)</f>
        <v>7131.03</v>
      </c>
      <c r="AC58" s="11">
        <f>+Z58-AB58</f>
        <v>-1319.87</v>
      </c>
      <c r="AD58" s="12">
        <f t="shared" si="3"/>
        <v>-0.1850882691560686</v>
      </c>
    </row>
    <row r="59" spans="1:30" x14ac:dyDescent="0.4">
      <c r="A59" s="1"/>
      <c r="B59" s="193" t="s">
        <v>95</v>
      </c>
      <c r="C59" s="257">
        <v>2855.51</v>
      </c>
      <c r="D59">
        <v>237.9591666666667</v>
      </c>
      <c r="E59" s="192" t="s">
        <v>19</v>
      </c>
      <c r="F59" s="133">
        <v>2412.73</v>
      </c>
      <c r="G59" s="133">
        <v>1658.76</v>
      </c>
      <c r="H59" s="133">
        <v>2001.71</v>
      </c>
      <c r="I59" s="133">
        <v>266.45999999999998</v>
      </c>
      <c r="J59" s="133">
        <v>454.37</v>
      </c>
      <c r="K59" s="133">
        <v>337</v>
      </c>
      <c r="L59" s="133">
        <v>328.84</v>
      </c>
      <c r="M59" s="133">
        <v>213.1</v>
      </c>
      <c r="N59" s="133">
        <v>1246.1199999999999</v>
      </c>
      <c r="O59" s="133">
        <v>0.2</v>
      </c>
      <c r="P59" s="133">
        <v>1175</v>
      </c>
      <c r="Q59" s="133">
        <v>1191.1199999999999</v>
      </c>
      <c r="R59" s="238">
        <v>11285.41</v>
      </c>
      <c r="S59" s="6"/>
      <c r="T59" s="133"/>
      <c r="U59" s="133">
        <v>1.75</v>
      </c>
      <c r="V59" s="133">
        <v>1633.15</v>
      </c>
      <c r="W59" s="133">
        <v>969.89</v>
      </c>
      <c r="X59" s="133">
        <v>933.75</v>
      </c>
      <c r="Y59" s="133">
        <v>2272.62</v>
      </c>
      <c r="Z59" s="246">
        <v>5811.16</v>
      </c>
      <c r="AA59" s="33"/>
      <c r="AB59" s="238">
        <f>SUM(AB58)</f>
        <v>7131.03</v>
      </c>
      <c r="AC59" s="133">
        <f t="shared" ref="AC59" si="21">SUM(AC58)</f>
        <v>-1319.87</v>
      </c>
      <c r="AD59" s="12">
        <f t="shared" si="3"/>
        <v>-0.1850882691560686</v>
      </c>
    </row>
    <row r="60" spans="1:30" x14ac:dyDescent="0.4">
      <c r="A60" s="1"/>
      <c r="B60" s="193"/>
      <c r="C60" s="256"/>
      <c r="D60"/>
      <c r="E60" s="192" t="s">
        <v>19</v>
      </c>
      <c r="F60" s="131"/>
      <c r="G60" s="131"/>
      <c r="H60" s="131"/>
      <c r="I60" s="131"/>
      <c r="J60" s="131"/>
      <c r="K60" s="131"/>
      <c r="L60" s="131"/>
      <c r="M60" s="131"/>
      <c r="N60" s="131"/>
      <c r="O60" s="131"/>
      <c r="P60" s="131"/>
      <c r="Q60" s="131"/>
      <c r="R60" s="237"/>
      <c r="S60" s="6"/>
      <c r="T60" s="131"/>
      <c r="U60" s="131"/>
      <c r="V60" s="131"/>
      <c r="W60" s="131"/>
      <c r="X60" s="131"/>
      <c r="Y60" s="131"/>
      <c r="Z60" s="245"/>
      <c r="AA60" s="33"/>
      <c r="AB60" s="237"/>
      <c r="AC60" s="4"/>
      <c r="AD60" s="5"/>
    </row>
    <row r="61" spans="1:30" x14ac:dyDescent="0.4">
      <c r="A61" s="1"/>
      <c r="B61" s="193" t="s">
        <v>96</v>
      </c>
      <c r="C61" s="256"/>
      <c r="D61"/>
      <c r="E61" s="192" t="s">
        <v>19</v>
      </c>
      <c r="F61" s="131"/>
      <c r="G61" s="131"/>
      <c r="H61" s="131"/>
      <c r="I61" s="131"/>
      <c r="J61" s="131"/>
      <c r="K61" s="131"/>
      <c r="L61" s="131"/>
      <c r="M61" s="131"/>
      <c r="N61" s="131"/>
      <c r="O61" s="131"/>
      <c r="P61" s="131"/>
      <c r="Q61" s="131"/>
      <c r="R61" s="237"/>
      <c r="S61" s="6"/>
      <c r="T61" s="131"/>
      <c r="U61" s="131"/>
      <c r="V61" s="131"/>
      <c r="W61" s="131"/>
      <c r="X61" s="131"/>
      <c r="Y61" s="131"/>
      <c r="Z61" s="245"/>
      <c r="AA61" s="3"/>
      <c r="AB61" s="237"/>
      <c r="AC61" s="4"/>
      <c r="AD61" s="5"/>
    </row>
    <row r="62" spans="1:30" x14ac:dyDescent="0.4">
      <c r="A62" s="1" t="s">
        <v>97</v>
      </c>
      <c r="B62" s="193" t="s">
        <v>98</v>
      </c>
      <c r="C62" s="256">
        <v>294288.84000000003</v>
      </c>
      <c r="D62">
        <v>24524.07</v>
      </c>
      <c r="E62" s="192" t="s">
        <v>19</v>
      </c>
      <c r="F62" s="131"/>
      <c r="G62" s="131"/>
      <c r="H62" s="132">
        <v>420</v>
      </c>
      <c r="I62" s="132">
        <v>24575</v>
      </c>
      <c r="J62" s="132">
        <v>31644.12</v>
      </c>
      <c r="K62" s="132">
        <v>8462.5</v>
      </c>
      <c r="L62" s="131"/>
      <c r="M62" s="132">
        <v>149.9</v>
      </c>
      <c r="N62" s="132">
        <v>600</v>
      </c>
      <c r="O62" s="132">
        <v>504</v>
      </c>
      <c r="P62" s="132">
        <v>300</v>
      </c>
      <c r="Q62" s="132">
        <v>500</v>
      </c>
      <c r="R62" s="237">
        <v>67155.520000000004</v>
      </c>
      <c r="S62" s="35"/>
      <c r="T62" s="131"/>
      <c r="U62" s="131"/>
      <c r="V62" s="132">
        <v>5500</v>
      </c>
      <c r="W62" s="131"/>
      <c r="X62" s="131"/>
      <c r="Y62" s="132">
        <v>14500</v>
      </c>
      <c r="Z62" s="245">
        <v>20000</v>
      </c>
      <c r="AA62" s="6"/>
      <c r="AB62" s="252">
        <f>SUM(F62:K62)</f>
        <v>65101.619999999995</v>
      </c>
      <c r="AC62" s="224">
        <f>+Z62-AB62</f>
        <v>-45101.619999999995</v>
      </c>
      <c r="AD62" s="8">
        <f t="shared" si="3"/>
        <v>-0.69278798284896748</v>
      </c>
    </row>
    <row r="63" spans="1:30" x14ac:dyDescent="0.4">
      <c r="A63" s="1" t="s">
        <v>99</v>
      </c>
      <c r="B63" s="193" t="s">
        <v>100</v>
      </c>
      <c r="C63" s="257">
        <v>3025</v>
      </c>
      <c r="D63">
        <v>252.08333333333329</v>
      </c>
      <c r="E63" s="192" t="s">
        <v>19</v>
      </c>
      <c r="F63" s="133">
        <v>118</v>
      </c>
      <c r="G63" s="134"/>
      <c r="H63" s="133">
        <v>1500</v>
      </c>
      <c r="I63" s="134"/>
      <c r="J63" s="134"/>
      <c r="K63" s="134"/>
      <c r="L63" s="134"/>
      <c r="M63" s="134"/>
      <c r="N63" s="134"/>
      <c r="O63" s="134"/>
      <c r="P63" s="134"/>
      <c r="Q63" s="134"/>
      <c r="R63" s="238">
        <v>1618</v>
      </c>
      <c r="S63" s="6"/>
      <c r="T63" s="134"/>
      <c r="U63" s="134"/>
      <c r="V63" s="134"/>
      <c r="W63" s="134"/>
      <c r="X63" s="134"/>
      <c r="Y63" s="134"/>
      <c r="Z63" s="246"/>
      <c r="AA63" s="6"/>
      <c r="AB63" s="253">
        <f>SUM(F63:K63)</f>
        <v>1618</v>
      </c>
      <c r="AC63" s="11">
        <f>+Z63-AB63</f>
        <v>-1618</v>
      </c>
      <c r="AD63" s="12">
        <f t="shared" ref="AD63" si="22">+AC63/AB63</f>
        <v>-1</v>
      </c>
    </row>
    <row r="64" spans="1:30" x14ac:dyDescent="0.4">
      <c r="A64" s="1"/>
      <c r="B64" s="193" t="s">
        <v>101</v>
      </c>
      <c r="C64" s="257">
        <v>297313.84000000003</v>
      </c>
      <c r="D64">
        <v>24776.153333333332</v>
      </c>
      <c r="E64" s="192" t="s">
        <v>19</v>
      </c>
      <c r="F64" s="133">
        <v>118</v>
      </c>
      <c r="G64" s="133"/>
      <c r="H64" s="133">
        <v>1920</v>
      </c>
      <c r="I64" s="133">
        <v>24575</v>
      </c>
      <c r="J64" s="133">
        <v>31644.12</v>
      </c>
      <c r="K64" s="133">
        <v>8462.5</v>
      </c>
      <c r="L64" s="133"/>
      <c r="M64" s="133">
        <v>149.9</v>
      </c>
      <c r="N64" s="133">
        <v>600</v>
      </c>
      <c r="O64" s="133">
        <v>504</v>
      </c>
      <c r="P64" s="133">
        <v>300</v>
      </c>
      <c r="Q64" s="133">
        <v>500</v>
      </c>
      <c r="R64" s="238">
        <v>68773.52</v>
      </c>
      <c r="S64" s="35"/>
      <c r="T64" s="133"/>
      <c r="U64" s="133"/>
      <c r="V64" s="133">
        <v>5500</v>
      </c>
      <c r="W64" s="133"/>
      <c r="X64" s="133"/>
      <c r="Y64" s="133">
        <v>14500</v>
      </c>
      <c r="Z64" s="246">
        <v>20000</v>
      </c>
      <c r="AA64" s="33"/>
      <c r="AB64" s="238">
        <f>SUM(AB62:AB63)</f>
        <v>66719.62</v>
      </c>
      <c r="AC64" s="229">
        <f>SUM(AC62:AC63)</f>
        <v>-46719.619999999995</v>
      </c>
      <c r="AD64" s="12">
        <f t="shared" si="3"/>
        <v>-0.70023810087647376</v>
      </c>
    </row>
    <row r="65" spans="1:30" x14ac:dyDescent="0.4">
      <c r="A65" s="1"/>
      <c r="B65" s="193"/>
      <c r="C65" s="256"/>
      <c r="D65"/>
      <c r="E65" s="192" t="s">
        <v>19</v>
      </c>
      <c r="F65" s="131"/>
      <c r="G65" s="131"/>
      <c r="H65" s="131"/>
      <c r="I65" s="131"/>
      <c r="J65" s="131"/>
      <c r="K65" s="131"/>
      <c r="L65" s="131"/>
      <c r="M65" s="131"/>
      <c r="N65" s="131"/>
      <c r="O65" s="131"/>
      <c r="P65" s="131"/>
      <c r="Q65" s="131"/>
      <c r="R65" s="237"/>
      <c r="S65" s="35"/>
      <c r="T65" s="131"/>
      <c r="U65" s="131"/>
      <c r="V65" s="131"/>
      <c r="W65" s="131"/>
      <c r="X65" s="131"/>
      <c r="Y65" s="131"/>
      <c r="Z65" s="245"/>
      <c r="AA65" s="6"/>
      <c r="AB65" s="237"/>
      <c r="AC65" s="4"/>
      <c r="AD65" s="5"/>
    </row>
    <row r="66" spans="1:30" x14ac:dyDescent="0.4">
      <c r="A66" s="1"/>
      <c r="B66" s="193" t="s">
        <v>102</v>
      </c>
      <c r="C66" s="257">
        <v>300169.34999999998</v>
      </c>
      <c r="D66">
        <v>25014.112499999999</v>
      </c>
      <c r="E66" s="192" t="s">
        <v>19</v>
      </c>
      <c r="F66" s="133">
        <v>2530.73</v>
      </c>
      <c r="G66" s="133">
        <v>1658.76</v>
      </c>
      <c r="H66" s="133">
        <v>3921.71</v>
      </c>
      <c r="I66" s="133">
        <v>24841.46</v>
      </c>
      <c r="J66" s="133">
        <v>32098.49</v>
      </c>
      <c r="K66" s="133">
        <v>8799.5</v>
      </c>
      <c r="L66" s="133">
        <v>328.84</v>
      </c>
      <c r="M66" s="133">
        <v>363</v>
      </c>
      <c r="N66" s="133">
        <v>1846.12</v>
      </c>
      <c r="O66" s="133">
        <v>504.2</v>
      </c>
      <c r="P66" s="133">
        <v>1475</v>
      </c>
      <c r="Q66" s="133">
        <v>1691.12</v>
      </c>
      <c r="R66" s="238">
        <v>80058.929999999993</v>
      </c>
      <c r="S66" s="6"/>
      <c r="T66" s="133"/>
      <c r="U66" s="133">
        <v>1.75</v>
      </c>
      <c r="V66" s="133">
        <v>7133.15</v>
      </c>
      <c r="W66" s="133">
        <v>969.89</v>
      </c>
      <c r="X66" s="133">
        <v>933.75</v>
      </c>
      <c r="Y66" s="133">
        <v>16772.62</v>
      </c>
      <c r="Z66" s="246">
        <v>25811.16</v>
      </c>
      <c r="AA66" s="33"/>
      <c r="AB66" s="238">
        <f>SUM(F66:K66)</f>
        <v>73850.649999999994</v>
      </c>
      <c r="AC66" s="11">
        <f>+Z66-AB66</f>
        <v>-48039.489999999991</v>
      </c>
      <c r="AD66" s="12">
        <f t="shared" si="3"/>
        <v>-0.65049515474813013</v>
      </c>
    </row>
    <row r="67" spans="1:30" x14ac:dyDescent="0.4">
      <c r="A67" s="1"/>
      <c r="B67" s="193"/>
      <c r="C67" s="256"/>
      <c r="D67"/>
      <c r="E67" s="192" t="s">
        <v>19</v>
      </c>
      <c r="F67" s="131"/>
      <c r="G67" s="131"/>
      <c r="H67" s="131"/>
      <c r="I67" s="131"/>
      <c r="J67" s="131"/>
      <c r="K67" s="131"/>
      <c r="L67" s="131"/>
      <c r="M67" s="131"/>
      <c r="N67" s="131"/>
      <c r="O67" s="131"/>
      <c r="P67" s="131"/>
      <c r="Q67" s="131"/>
      <c r="R67" s="237"/>
      <c r="S67" s="6"/>
      <c r="T67" s="131"/>
      <c r="U67" s="131"/>
      <c r="V67" s="131"/>
      <c r="W67" s="131"/>
      <c r="X67" s="131"/>
      <c r="Y67" s="131"/>
      <c r="Z67" s="245"/>
      <c r="AA67" s="33"/>
      <c r="AB67" s="237"/>
      <c r="AC67" s="4"/>
      <c r="AD67" s="5"/>
    </row>
    <row r="68" spans="1:30" x14ac:dyDescent="0.4">
      <c r="A68" s="1"/>
      <c r="B68" s="193" t="s">
        <v>103</v>
      </c>
      <c r="C68" s="256"/>
      <c r="D68"/>
      <c r="E68" s="192" t="s">
        <v>19</v>
      </c>
      <c r="F68" s="131"/>
      <c r="G68" s="131"/>
      <c r="H68" s="131"/>
      <c r="I68" s="131"/>
      <c r="J68" s="131"/>
      <c r="K68" s="131"/>
      <c r="L68" s="131"/>
      <c r="M68" s="131"/>
      <c r="N68" s="131"/>
      <c r="O68" s="131"/>
      <c r="P68" s="131"/>
      <c r="Q68" s="131"/>
      <c r="R68" s="237"/>
      <c r="S68" s="6"/>
      <c r="T68" s="131"/>
      <c r="U68" s="131"/>
      <c r="V68" s="131"/>
      <c r="W68" s="131"/>
      <c r="X68" s="131"/>
      <c r="Y68" s="131"/>
      <c r="Z68" s="245"/>
      <c r="AA68" s="3"/>
      <c r="AB68" s="237"/>
      <c r="AC68" s="4"/>
      <c r="AD68" s="5"/>
    </row>
    <row r="69" spans="1:30" x14ac:dyDescent="0.4">
      <c r="A69" s="1" t="s">
        <v>104</v>
      </c>
      <c r="B69" s="193" t="s">
        <v>105</v>
      </c>
      <c r="C69" s="256">
        <v>326235.83</v>
      </c>
      <c r="D69">
        <v>27186.319166666668</v>
      </c>
      <c r="E69" s="192" t="s">
        <v>19</v>
      </c>
      <c r="F69" s="132">
        <v>22264.3</v>
      </c>
      <c r="G69" s="132">
        <v>21217.83</v>
      </c>
      <c r="H69" s="132">
        <v>24689.4</v>
      </c>
      <c r="I69" s="132">
        <v>20802.18</v>
      </c>
      <c r="J69" s="132">
        <v>28102.21</v>
      </c>
      <c r="K69" s="132">
        <v>25880.57</v>
      </c>
      <c r="L69" s="132">
        <v>20889.259999999998</v>
      </c>
      <c r="M69" s="132">
        <v>25297.29</v>
      </c>
      <c r="N69" s="132">
        <v>17547.509999999998</v>
      </c>
      <c r="O69" s="132">
        <v>16741.86</v>
      </c>
      <c r="P69" s="132">
        <v>24059.759999999998</v>
      </c>
      <c r="Q69" s="132">
        <v>16949.12</v>
      </c>
      <c r="R69" s="237">
        <v>264441.28999999998</v>
      </c>
      <c r="S69" s="6"/>
      <c r="T69" s="132">
        <v>20062.150000000001</v>
      </c>
      <c r="U69" s="132">
        <v>19100.349999999999</v>
      </c>
      <c r="V69" s="132">
        <v>12146.8</v>
      </c>
      <c r="W69" s="132">
        <v>12881.18</v>
      </c>
      <c r="X69" s="132">
        <v>17622.04</v>
      </c>
      <c r="Y69" s="132">
        <v>17963.580000000002</v>
      </c>
      <c r="Z69" s="245">
        <v>99776.1</v>
      </c>
      <c r="AA69" s="33"/>
      <c r="AB69" s="252">
        <f t="shared" ref="AB69:AB93" si="23">SUM(F69:K69)</f>
        <v>142956.49</v>
      </c>
      <c r="AC69" s="224">
        <f>+Z69-AB69</f>
        <v>-43180.389999999985</v>
      </c>
      <c r="AD69" s="8">
        <f t="shared" si="3"/>
        <v>-0.30205267350926135</v>
      </c>
    </row>
    <row r="70" spans="1:30" x14ac:dyDescent="0.4">
      <c r="A70" s="1" t="s">
        <v>106</v>
      </c>
      <c r="B70" s="193" t="s">
        <v>107</v>
      </c>
      <c r="C70" s="256">
        <v>169</v>
      </c>
      <c r="D70">
        <v>14.0833333333333</v>
      </c>
      <c r="E70" s="192" t="s">
        <v>19</v>
      </c>
      <c r="F70" s="131"/>
      <c r="G70" s="131"/>
      <c r="H70" s="131"/>
      <c r="I70" s="131"/>
      <c r="J70" s="131"/>
      <c r="K70" s="131"/>
      <c r="L70" s="131"/>
      <c r="M70" s="131"/>
      <c r="N70" s="131"/>
      <c r="O70" s="131"/>
      <c r="P70" s="131"/>
      <c r="Q70" s="131"/>
      <c r="R70" s="237"/>
      <c r="S70" s="6"/>
      <c r="T70" s="131"/>
      <c r="U70" s="131"/>
      <c r="V70" s="131"/>
      <c r="W70" s="131"/>
      <c r="X70" s="131"/>
      <c r="Y70" s="131"/>
      <c r="Z70" s="245"/>
      <c r="AA70" s="3"/>
      <c r="AB70" s="252">
        <f t="shared" si="23"/>
        <v>0</v>
      </c>
      <c r="AC70" s="224">
        <f t="shared" ref="AC70:AC93" si="24">+Z70-AB70</f>
        <v>0</v>
      </c>
      <c r="AD70" s="8" t="e">
        <f t="shared" ref="AD70:AD93" si="25">+AC70/AB70</f>
        <v>#DIV/0!</v>
      </c>
    </row>
    <row r="71" spans="1:30" x14ac:dyDescent="0.4">
      <c r="A71" s="1" t="s">
        <v>108</v>
      </c>
      <c r="B71" s="193" t="s">
        <v>109</v>
      </c>
      <c r="C71" s="256">
        <v>59423.22</v>
      </c>
      <c r="D71">
        <v>4951.9350000000004</v>
      </c>
      <c r="E71" s="192" t="s">
        <v>19</v>
      </c>
      <c r="F71" s="132">
        <v>5411.63</v>
      </c>
      <c r="G71" s="132">
        <v>4278.8</v>
      </c>
      <c r="H71" s="132">
        <v>5010.47</v>
      </c>
      <c r="I71" s="132">
        <v>3945.67</v>
      </c>
      <c r="J71" s="132">
        <v>5410.24</v>
      </c>
      <c r="K71" s="132">
        <v>4341.88</v>
      </c>
      <c r="L71" s="132">
        <v>3412.86</v>
      </c>
      <c r="M71" s="132">
        <v>4489.99</v>
      </c>
      <c r="N71" s="132">
        <v>4340.8100000000004</v>
      </c>
      <c r="O71" s="132">
        <v>7399.68</v>
      </c>
      <c r="P71" s="132">
        <v>6589.87</v>
      </c>
      <c r="Q71" s="132">
        <v>9348.09</v>
      </c>
      <c r="R71" s="237">
        <v>63979.99</v>
      </c>
      <c r="S71" s="6"/>
      <c r="T71" s="132">
        <v>6238.28</v>
      </c>
      <c r="U71" s="132">
        <v>5342.52</v>
      </c>
      <c r="V71" s="132">
        <v>4329.8</v>
      </c>
      <c r="W71" s="132">
        <v>4359.04</v>
      </c>
      <c r="X71" s="132">
        <v>3307.06</v>
      </c>
      <c r="Y71" s="132">
        <v>3884.75</v>
      </c>
      <c r="Z71" s="245">
        <v>27461.45</v>
      </c>
      <c r="AA71" s="3"/>
      <c r="AB71" s="252">
        <f t="shared" si="23"/>
        <v>28398.69</v>
      </c>
      <c r="AC71" s="224">
        <f t="shared" si="24"/>
        <v>-937.23999999999796</v>
      </c>
      <c r="AD71" s="8">
        <f t="shared" si="25"/>
        <v>-3.3002930768989629E-2</v>
      </c>
    </row>
    <row r="72" spans="1:30" x14ac:dyDescent="0.4">
      <c r="A72" s="1" t="s">
        <v>110</v>
      </c>
      <c r="B72" s="193" t="s">
        <v>111</v>
      </c>
      <c r="C72" s="256">
        <v>38847.17</v>
      </c>
      <c r="D72">
        <v>3237.2641666666668</v>
      </c>
      <c r="E72" s="192" t="s">
        <v>19</v>
      </c>
      <c r="F72" s="132">
        <v>153.30000000000001</v>
      </c>
      <c r="G72" s="132">
        <v>298.85000000000002</v>
      </c>
      <c r="H72" s="132">
        <v>109.15</v>
      </c>
      <c r="I72" s="132">
        <v>3021.69</v>
      </c>
      <c r="J72" s="132">
        <v>396.31</v>
      </c>
      <c r="K72" s="132">
        <v>1138.8599999999999</v>
      </c>
      <c r="L72" s="132">
        <v>286.97000000000003</v>
      </c>
      <c r="M72" s="132">
        <v>396.54</v>
      </c>
      <c r="N72" s="132">
        <v>2162.42</v>
      </c>
      <c r="O72" s="132">
        <v>30.65</v>
      </c>
      <c r="P72" s="132">
        <v>425.18</v>
      </c>
      <c r="Q72" s="132">
        <v>1511.28</v>
      </c>
      <c r="R72" s="237">
        <v>9931.2000000000007</v>
      </c>
      <c r="S72" s="6"/>
      <c r="T72" s="132">
        <v>911.87</v>
      </c>
      <c r="U72" s="132">
        <v>1186.27</v>
      </c>
      <c r="V72" s="132">
        <v>621.16</v>
      </c>
      <c r="W72" s="132">
        <v>77.349999999999994</v>
      </c>
      <c r="X72" s="132">
        <v>2593.87</v>
      </c>
      <c r="Y72" s="132">
        <v>1531.49</v>
      </c>
      <c r="Z72" s="245">
        <v>6922.01</v>
      </c>
      <c r="AA72" s="3"/>
      <c r="AB72" s="252">
        <f t="shared" si="23"/>
        <v>5118.16</v>
      </c>
      <c r="AC72" s="224">
        <f t="shared" si="24"/>
        <v>1803.8500000000004</v>
      </c>
      <c r="AD72" s="8">
        <f t="shared" si="25"/>
        <v>0.35244111164949909</v>
      </c>
    </row>
    <row r="73" spans="1:30" x14ac:dyDescent="0.4">
      <c r="A73" s="1" t="s">
        <v>112</v>
      </c>
      <c r="B73" s="193" t="s">
        <v>113</v>
      </c>
      <c r="C73" s="256">
        <v>9234.08</v>
      </c>
      <c r="D73">
        <v>769.50666666666666</v>
      </c>
      <c r="E73" s="192" t="s">
        <v>19</v>
      </c>
      <c r="F73" s="132">
        <v>1185.8</v>
      </c>
      <c r="G73" s="132">
        <v>807.8</v>
      </c>
      <c r="H73" s="132">
        <v>9.9499999999999993</v>
      </c>
      <c r="I73" s="132">
        <v>9.9499999999999993</v>
      </c>
      <c r="J73" s="132">
        <v>807.8</v>
      </c>
      <c r="K73" s="132">
        <v>807.8</v>
      </c>
      <c r="L73" s="132">
        <v>807.8</v>
      </c>
      <c r="M73" s="132">
        <v>807.8</v>
      </c>
      <c r="N73" s="132">
        <v>857.79</v>
      </c>
      <c r="O73" s="132">
        <v>9.9499999999999993</v>
      </c>
      <c r="P73" s="132">
        <v>1605.65</v>
      </c>
      <c r="Q73" s="132">
        <v>807.8</v>
      </c>
      <c r="R73" s="237">
        <v>8525.89</v>
      </c>
      <c r="S73" s="6"/>
      <c r="T73" s="132">
        <v>3884.83</v>
      </c>
      <c r="U73" s="132">
        <v>359.81</v>
      </c>
      <c r="V73" s="132">
        <v>19.66</v>
      </c>
      <c r="W73" s="132">
        <v>9.83</v>
      </c>
      <c r="X73" s="132">
        <v>9.83</v>
      </c>
      <c r="Y73" s="132">
        <v>19.66</v>
      </c>
      <c r="Z73" s="245">
        <v>4303.62</v>
      </c>
      <c r="AA73" s="3"/>
      <c r="AB73" s="252">
        <f t="shared" si="23"/>
        <v>3629.1000000000004</v>
      </c>
      <c r="AC73" s="224">
        <f t="shared" si="24"/>
        <v>674.51999999999953</v>
      </c>
      <c r="AD73" s="8">
        <f t="shared" si="25"/>
        <v>0.18586426386707433</v>
      </c>
    </row>
    <row r="74" spans="1:30" x14ac:dyDescent="0.4">
      <c r="A74" s="1" t="s">
        <v>114</v>
      </c>
      <c r="B74" s="193" t="s">
        <v>115</v>
      </c>
      <c r="C74" s="256">
        <v>508729.41</v>
      </c>
      <c r="D74">
        <v>42394.1175</v>
      </c>
      <c r="E74" s="192" t="s">
        <v>19</v>
      </c>
      <c r="F74" s="132">
        <v>30916.52</v>
      </c>
      <c r="G74" s="132">
        <v>37949.24</v>
      </c>
      <c r="H74" s="132">
        <v>27356.26</v>
      </c>
      <c r="I74" s="132">
        <v>50145.82</v>
      </c>
      <c r="J74" s="132">
        <v>46411.96</v>
      </c>
      <c r="K74" s="132">
        <v>35804.400000000001</v>
      </c>
      <c r="L74" s="132">
        <v>29123.56</v>
      </c>
      <c r="M74" s="132">
        <v>41014.050000000003</v>
      </c>
      <c r="N74" s="132">
        <v>48737.54</v>
      </c>
      <c r="O74" s="132">
        <v>34672.1</v>
      </c>
      <c r="P74" s="132">
        <v>49149.89</v>
      </c>
      <c r="Q74" s="132">
        <v>26704.16</v>
      </c>
      <c r="R74" s="237">
        <v>457985.5</v>
      </c>
      <c r="S74" s="6"/>
      <c r="T74" s="132">
        <v>48823.49</v>
      </c>
      <c r="U74" s="132">
        <v>30237.77</v>
      </c>
      <c r="V74" s="132">
        <v>44591.25</v>
      </c>
      <c r="W74" s="132">
        <v>25815.96</v>
      </c>
      <c r="X74" s="132">
        <v>35515.99</v>
      </c>
      <c r="Y74" s="132">
        <v>45232.4</v>
      </c>
      <c r="Z74" s="245">
        <v>230216.86</v>
      </c>
      <c r="AA74" s="3"/>
      <c r="AB74" s="252">
        <f t="shared" si="23"/>
        <v>228584.19999999998</v>
      </c>
      <c r="AC74" s="224">
        <f t="shared" si="24"/>
        <v>1632.6600000000035</v>
      </c>
      <c r="AD74" s="8">
        <f t="shared" si="25"/>
        <v>7.1424884134599137E-3</v>
      </c>
    </row>
    <row r="75" spans="1:30" x14ac:dyDescent="0.4">
      <c r="A75" s="1" t="s">
        <v>116</v>
      </c>
      <c r="B75" s="193" t="s">
        <v>117</v>
      </c>
      <c r="C75" s="256">
        <v>388854.51</v>
      </c>
      <c r="D75">
        <v>32404.5425</v>
      </c>
      <c r="E75" s="192" t="s">
        <v>19</v>
      </c>
      <c r="F75" s="132">
        <v>104163.24</v>
      </c>
      <c r="G75" s="132">
        <v>34300.129999999997</v>
      </c>
      <c r="H75" s="132">
        <v>8537.5</v>
      </c>
      <c r="I75" s="132">
        <v>18221.66</v>
      </c>
      <c r="J75" s="132">
        <v>74227.97</v>
      </c>
      <c r="K75" s="132">
        <v>39140.800000000003</v>
      </c>
      <c r="L75" s="132">
        <v>44383.32</v>
      </c>
      <c r="M75" s="132">
        <v>32191.87</v>
      </c>
      <c r="N75" s="132">
        <v>10143</v>
      </c>
      <c r="O75" s="132">
        <v>2244.77</v>
      </c>
      <c r="P75" s="132">
        <v>14805</v>
      </c>
      <c r="Q75" s="132">
        <v>6281.25</v>
      </c>
      <c r="R75" s="237">
        <v>388640.51</v>
      </c>
      <c r="S75" s="6"/>
      <c r="T75" s="132">
        <v>17261.79</v>
      </c>
      <c r="U75" s="132">
        <v>27397.5</v>
      </c>
      <c r="V75" s="132">
        <v>22725</v>
      </c>
      <c r="W75" s="132">
        <v>29195.200000000001</v>
      </c>
      <c r="X75" s="132">
        <v>22292.36</v>
      </c>
      <c r="Y75" s="132">
        <v>55581.8</v>
      </c>
      <c r="Z75" s="245">
        <v>174453.65</v>
      </c>
      <c r="AA75" s="3"/>
      <c r="AB75" s="252">
        <f t="shared" si="23"/>
        <v>278591.3</v>
      </c>
      <c r="AC75" s="224">
        <f t="shared" si="24"/>
        <v>-104137.65</v>
      </c>
      <c r="AD75" s="8">
        <f t="shared" si="25"/>
        <v>-0.37380079708160302</v>
      </c>
    </row>
    <row r="76" spans="1:30" x14ac:dyDescent="0.4">
      <c r="A76" s="1" t="s">
        <v>118</v>
      </c>
      <c r="B76" s="193" t="s">
        <v>119</v>
      </c>
      <c r="C76" s="256">
        <v>1500</v>
      </c>
      <c r="D76">
        <v>125</v>
      </c>
      <c r="E76" s="192" t="s">
        <v>19</v>
      </c>
      <c r="F76" s="131"/>
      <c r="G76" s="131"/>
      <c r="H76" s="131"/>
      <c r="I76" s="131"/>
      <c r="J76" s="131"/>
      <c r="K76" s="131"/>
      <c r="L76" s="132">
        <v>2500</v>
      </c>
      <c r="M76" s="131"/>
      <c r="N76" s="131"/>
      <c r="O76" s="131"/>
      <c r="P76" s="131"/>
      <c r="Q76" s="131"/>
      <c r="R76" s="237">
        <v>2500</v>
      </c>
      <c r="S76" s="6"/>
      <c r="T76" s="131"/>
      <c r="U76" s="131"/>
      <c r="V76" s="131"/>
      <c r="W76" s="132">
        <v>350</v>
      </c>
      <c r="X76" s="131"/>
      <c r="Y76" s="131"/>
      <c r="Z76" s="245">
        <v>350</v>
      </c>
      <c r="AA76" s="3"/>
      <c r="AB76" s="252">
        <f t="shared" si="23"/>
        <v>0</v>
      </c>
      <c r="AC76" s="224">
        <f t="shared" si="24"/>
        <v>350</v>
      </c>
      <c r="AD76" s="8" t="e">
        <f t="shared" si="25"/>
        <v>#DIV/0!</v>
      </c>
    </row>
    <row r="77" spans="1:30" x14ac:dyDescent="0.4">
      <c r="A77" s="1" t="s">
        <v>120</v>
      </c>
      <c r="B77" s="193" t="s">
        <v>121</v>
      </c>
      <c r="C77" s="256">
        <v>321933.7</v>
      </c>
      <c r="D77">
        <v>26827.808333333334</v>
      </c>
      <c r="E77" s="192" t="s">
        <v>19</v>
      </c>
      <c r="F77" s="132">
        <v>27500</v>
      </c>
      <c r="G77" s="132">
        <v>27500</v>
      </c>
      <c r="H77" s="132">
        <v>27500</v>
      </c>
      <c r="I77" s="132">
        <v>27500</v>
      </c>
      <c r="J77" s="132">
        <v>27500</v>
      </c>
      <c r="K77" s="132">
        <v>27500</v>
      </c>
      <c r="L77" s="132">
        <v>27500</v>
      </c>
      <c r="M77" s="132">
        <v>27500</v>
      </c>
      <c r="N77" s="132">
        <v>27500</v>
      </c>
      <c r="O77" s="132">
        <v>27500</v>
      </c>
      <c r="P77" s="132">
        <v>27500</v>
      </c>
      <c r="Q77" s="132">
        <v>27500</v>
      </c>
      <c r="R77" s="237">
        <v>330000</v>
      </c>
      <c r="S77" s="6"/>
      <c r="T77" s="132">
        <v>27500</v>
      </c>
      <c r="U77" s="132">
        <v>27500</v>
      </c>
      <c r="V77" s="132">
        <v>27500</v>
      </c>
      <c r="W77" s="132">
        <v>27500</v>
      </c>
      <c r="X77" s="132">
        <v>27500</v>
      </c>
      <c r="Y77" s="132">
        <v>27500</v>
      </c>
      <c r="Z77" s="245">
        <v>165000</v>
      </c>
      <c r="AA77" s="3"/>
      <c r="AB77" s="252">
        <f t="shared" si="23"/>
        <v>165000</v>
      </c>
      <c r="AC77" s="224">
        <f t="shared" si="24"/>
        <v>0</v>
      </c>
      <c r="AD77" s="8">
        <f t="shared" si="25"/>
        <v>0</v>
      </c>
    </row>
    <row r="78" spans="1:30" x14ac:dyDescent="0.4">
      <c r="A78" s="1" t="s">
        <v>122</v>
      </c>
      <c r="B78" s="193" t="s">
        <v>123</v>
      </c>
      <c r="C78" s="256">
        <v>119790</v>
      </c>
      <c r="D78">
        <v>9982.5</v>
      </c>
      <c r="E78" s="192" t="s">
        <v>19</v>
      </c>
      <c r="F78" s="131"/>
      <c r="G78" s="131"/>
      <c r="H78" s="131"/>
      <c r="I78" s="131"/>
      <c r="J78" s="131"/>
      <c r="K78" s="131"/>
      <c r="L78" s="132">
        <v>11050</v>
      </c>
      <c r="M78" s="132">
        <v>-4500</v>
      </c>
      <c r="N78" s="131"/>
      <c r="O78" s="131"/>
      <c r="P78" s="132">
        <v>7460</v>
      </c>
      <c r="Q78" s="131"/>
      <c r="R78" s="237">
        <v>14010</v>
      </c>
      <c r="S78" s="6"/>
      <c r="T78" s="131"/>
      <c r="U78" s="131"/>
      <c r="V78" s="131"/>
      <c r="W78" s="131"/>
      <c r="X78" s="132">
        <v>4665</v>
      </c>
      <c r="Y78" s="131"/>
      <c r="Z78" s="245">
        <v>4665</v>
      </c>
      <c r="AA78" s="3"/>
      <c r="AB78" s="252">
        <f t="shared" si="23"/>
        <v>0</v>
      </c>
      <c r="AC78" s="224">
        <f t="shared" si="24"/>
        <v>4665</v>
      </c>
      <c r="AD78" s="8" t="e">
        <f t="shared" si="25"/>
        <v>#DIV/0!</v>
      </c>
    </row>
    <row r="79" spans="1:30" x14ac:dyDescent="0.4">
      <c r="A79" s="1" t="s">
        <v>124</v>
      </c>
      <c r="B79" s="193" t="s">
        <v>125</v>
      </c>
      <c r="C79" s="256">
        <v>3436.11</v>
      </c>
      <c r="D79">
        <v>286.34249999999997</v>
      </c>
      <c r="E79" s="192" t="s">
        <v>19</v>
      </c>
      <c r="F79" s="132">
        <v>231.15</v>
      </c>
      <c r="G79" s="132">
        <v>324.14999999999998</v>
      </c>
      <c r="H79" s="132">
        <v>182.8</v>
      </c>
      <c r="I79" s="132">
        <v>1640.02</v>
      </c>
      <c r="J79" s="132">
        <v>2244.1</v>
      </c>
      <c r="K79" s="132">
        <v>232.5</v>
      </c>
      <c r="L79" s="132">
        <v>142.5</v>
      </c>
      <c r="M79" s="132">
        <v>142.5</v>
      </c>
      <c r="N79" s="132">
        <v>162.5</v>
      </c>
      <c r="O79" s="132">
        <v>142.49</v>
      </c>
      <c r="P79" s="132">
        <v>1153.5</v>
      </c>
      <c r="Q79" s="132">
        <v>142.5</v>
      </c>
      <c r="R79" s="237">
        <v>6740.71</v>
      </c>
      <c r="S79" s="6"/>
      <c r="T79" s="132">
        <v>142.5</v>
      </c>
      <c r="U79" s="132">
        <v>215.66</v>
      </c>
      <c r="V79" s="132">
        <v>-14.67</v>
      </c>
      <c r="W79" s="132">
        <v>320.22000000000003</v>
      </c>
      <c r="X79" s="132">
        <v>255.9</v>
      </c>
      <c r="Y79" s="132">
        <v>225.5</v>
      </c>
      <c r="Z79" s="245">
        <v>1145.1099999999999</v>
      </c>
      <c r="AA79" s="3"/>
      <c r="AB79" s="252">
        <f t="shared" si="23"/>
        <v>4854.7199999999993</v>
      </c>
      <c r="AC79" s="224">
        <f t="shared" si="24"/>
        <v>-3709.6099999999997</v>
      </c>
      <c r="AD79" s="8">
        <f t="shared" si="25"/>
        <v>-0.76412439852349878</v>
      </c>
    </row>
    <row r="80" spans="1:30" x14ac:dyDescent="0.4">
      <c r="A80" s="1" t="s">
        <v>126</v>
      </c>
      <c r="B80" s="193" t="s">
        <v>127</v>
      </c>
      <c r="C80" s="256">
        <v>197120.82</v>
      </c>
      <c r="D80">
        <v>16426.735000000001</v>
      </c>
      <c r="E80" s="192" t="s">
        <v>19</v>
      </c>
      <c r="F80" s="132">
        <v>41553.71</v>
      </c>
      <c r="G80" s="132">
        <v>15456.66</v>
      </c>
      <c r="H80" s="132">
        <v>7517.76</v>
      </c>
      <c r="I80" s="132">
        <v>15585.78</v>
      </c>
      <c r="J80" s="132">
        <v>17133.61</v>
      </c>
      <c r="K80" s="132">
        <v>13436.73</v>
      </c>
      <c r="L80" s="132">
        <v>15947.14</v>
      </c>
      <c r="M80" s="132">
        <v>16311.05</v>
      </c>
      <c r="N80" s="132">
        <v>14499.29</v>
      </c>
      <c r="O80" s="132">
        <v>12998.81</v>
      </c>
      <c r="P80" s="132">
        <v>-7.5</v>
      </c>
      <c r="Q80" s="132">
        <v>17717.759999999998</v>
      </c>
      <c r="R80" s="237">
        <v>188150.8</v>
      </c>
      <c r="S80" s="6"/>
      <c r="T80" s="132">
        <v>15032.36</v>
      </c>
      <c r="U80" s="132">
        <v>30890.45</v>
      </c>
      <c r="V80" s="132">
        <v>12904.41</v>
      </c>
      <c r="W80" s="132">
        <v>36124.730000000003</v>
      </c>
      <c r="X80" s="132">
        <v>11605.94</v>
      </c>
      <c r="Y80" s="132">
        <v>15687.13</v>
      </c>
      <c r="Z80" s="245">
        <v>122245.02</v>
      </c>
      <c r="AA80" s="3"/>
      <c r="AB80" s="252">
        <f t="shared" si="23"/>
        <v>110684.25</v>
      </c>
      <c r="AC80" s="224">
        <f t="shared" si="24"/>
        <v>11560.770000000004</v>
      </c>
      <c r="AD80" s="8">
        <f t="shared" si="25"/>
        <v>0.10444819384871835</v>
      </c>
    </row>
    <row r="81" spans="1:30" x14ac:dyDescent="0.4">
      <c r="A81" s="1" t="s">
        <v>128</v>
      </c>
      <c r="B81" s="193" t="s">
        <v>129</v>
      </c>
      <c r="C81" s="256">
        <v>428943.55</v>
      </c>
      <c r="D81">
        <v>35745.29583333333</v>
      </c>
      <c r="E81" s="192" t="s">
        <v>19</v>
      </c>
      <c r="F81" s="132">
        <v>11119.21</v>
      </c>
      <c r="G81" s="132">
        <v>14429.94</v>
      </c>
      <c r="H81" s="132">
        <v>70301.31</v>
      </c>
      <c r="I81" s="132">
        <v>13079.44</v>
      </c>
      <c r="J81" s="132">
        <v>9145.4500000000007</v>
      </c>
      <c r="K81" s="132">
        <v>78716.3</v>
      </c>
      <c r="L81" s="132">
        <v>16082.04</v>
      </c>
      <c r="M81" s="132">
        <v>10765.44</v>
      </c>
      <c r="N81" s="132">
        <v>64448.86</v>
      </c>
      <c r="O81" s="132">
        <v>10587.88</v>
      </c>
      <c r="P81" s="132">
        <v>8056.14</v>
      </c>
      <c r="Q81" s="132">
        <v>63006.559999999998</v>
      </c>
      <c r="R81" s="237">
        <v>369738.57</v>
      </c>
      <c r="S81" s="6"/>
      <c r="T81" s="132">
        <v>8217.4599999999991</v>
      </c>
      <c r="U81" s="132">
        <v>13273.89</v>
      </c>
      <c r="V81" s="132">
        <v>61982.54</v>
      </c>
      <c r="W81" s="132">
        <v>17394.37</v>
      </c>
      <c r="X81" s="132">
        <v>18526.71</v>
      </c>
      <c r="Y81" s="132">
        <v>15202.94</v>
      </c>
      <c r="Z81" s="245">
        <v>134597.91</v>
      </c>
      <c r="AA81" s="3"/>
      <c r="AB81" s="252">
        <f t="shared" si="23"/>
        <v>196791.65</v>
      </c>
      <c r="AC81" s="224">
        <f t="shared" si="24"/>
        <v>-62193.739999999991</v>
      </c>
      <c r="AD81" s="8">
        <f t="shared" si="25"/>
        <v>-0.31603851078030998</v>
      </c>
    </row>
    <row r="82" spans="1:30" x14ac:dyDescent="0.4">
      <c r="A82" s="1" t="s">
        <v>130</v>
      </c>
      <c r="B82" s="193" t="s">
        <v>131</v>
      </c>
      <c r="C82" s="256">
        <v>36993.040000000001</v>
      </c>
      <c r="D82">
        <v>3082.7533333333331</v>
      </c>
      <c r="E82" s="192" t="s">
        <v>19</v>
      </c>
      <c r="F82" s="132">
        <v>1005</v>
      </c>
      <c r="G82" s="132">
        <v>1191.76</v>
      </c>
      <c r="H82" s="132">
        <v>2229.0500000000002</v>
      </c>
      <c r="I82" s="132">
        <v>1920</v>
      </c>
      <c r="J82" s="132">
        <v>4095.72</v>
      </c>
      <c r="K82" s="132">
        <v>1242.28</v>
      </c>
      <c r="L82" s="132">
        <v>1500</v>
      </c>
      <c r="M82" s="132">
        <v>2160</v>
      </c>
      <c r="N82" s="132">
        <v>60</v>
      </c>
      <c r="O82" s="132">
        <v>960</v>
      </c>
      <c r="P82" s="132">
        <v>2075</v>
      </c>
      <c r="Q82" s="132">
        <v>73.95</v>
      </c>
      <c r="R82" s="237">
        <v>18512.759999999998</v>
      </c>
      <c r="S82" s="6"/>
      <c r="T82" s="132">
        <v>375</v>
      </c>
      <c r="U82" s="132">
        <v>3450</v>
      </c>
      <c r="V82" s="132">
        <v>4151</v>
      </c>
      <c r="W82" s="132">
        <v>936</v>
      </c>
      <c r="X82" s="131"/>
      <c r="Y82" s="132">
        <v>600</v>
      </c>
      <c r="Z82" s="245">
        <v>9512</v>
      </c>
      <c r="AA82" s="3"/>
      <c r="AB82" s="252">
        <f t="shared" si="23"/>
        <v>11683.810000000001</v>
      </c>
      <c r="AC82" s="224">
        <f t="shared" si="24"/>
        <v>-2171.8100000000013</v>
      </c>
      <c r="AD82" s="8">
        <f t="shared" si="25"/>
        <v>-0.1858820025317085</v>
      </c>
    </row>
    <row r="83" spans="1:30" x14ac:dyDescent="0.4">
      <c r="A83" s="1" t="s">
        <v>132</v>
      </c>
      <c r="B83" s="193" t="s">
        <v>133</v>
      </c>
      <c r="C83" s="256">
        <v>103569.96</v>
      </c>
      <c r="D83">
        <v>8630.83</v>
      </c>
      <c r="E83" s="192" t="s">
        <v>19</v>
      </c>
      <c r="F83" s="132">
        <v>8365.89</v>
      </c>
      <c r="G83" s="132">
        <v>4397.05</v>
      </c>
      <c r="H83" s="132">
        <v>3590.78</v>
      </c>
      <c r="I83" s="132">
        <v>3869.18</v>
      </c>
      <c r="J83" s="132">
        <v>2327.16</v>
      </c>
      <c r="K83" s="132">
        <v>2488.7199999999998</v>
      </c>
      <c r="L83" s="132">
        <v>383.76</v>
      </c>
      <c r="M83" s="132">
        <v>526.15</v>
      </c>
      <c r="N83" s="132">
        <v>396</v>
      </c>
      <c r="O83" s="132">
        <v>398.55</v>
      </c>
      <c r="P83" s="132">
        <v>7419.21</v>
      </c>
      <c r="Q83" s="132">
        <v>312.5</v>
      </c>
      <c r="R83" s="237">
        <v>34474.949999999997</v>
      </c>
      <c r="S83" s="6"/>
      <c r="T83" s="132">
        <v>307</v>
      </c>
      <c r="U83" s="132">
        <v>607.12</v>
      </c>
      <c r="V83" s="132">
        <v>492.18</v>
      </c>
      <c r="W83" s="132">
        <v>218.67</v>
      </c>
      <c r="X83" s="132">
        <v>223.08</v>
      </c>
      <c r="Y83" s="132">
        <v>464.33</v>
      </c>
      <c r="Z83" s="245">
        <v>2312.38</v>
      </c>
      <c r="AA83" s="3"/>
      <c r="AB83" s="252">
        <f t="shared" si="23"/>
        <v>25038.78</v>
      </c>
      <c r="AC83" s="224">
        <f t="shared" si="24"/>
        <v>-22726.399999999998</v>
      </c>
      <c r="AD83" s="8">
        <f t="shared" si="25"/>
        <v>-0.90764805633501311</v>
      </c>
    </row>
    <row r="84" spans="1:30" x14ac:dyDescent="0.4">
      <c r="A84" s="1" t="s">
        <v>134</v>
      </c>
      <c r="B84" s="193" t="s">
        <v>135</v>
      </c>
      <c r="C84" s="256">
        <v>121739.6</v>
      </c>
      <c r="D84">
        <v>10144.966666666667</v>
      </c>
      <c r="E84" s="192" t="s">
        <v>19</v>
      </c>
      <c r="F84" s="132">
        <v>10484.65</v>
      </c>
      <c r="G84" s="132">
        <v>12884.49</v>
      </c>
      <c r="H84" s="132">
        <v>15493.41</v>
      </c>
      <c r="I84" s="132">
        <v>16228.92</v>
      </c>
      <c r="J84" s="132">
        <v>10475.02</v>
      </c>
      <c r="K84" s="132">
        <v>7609.4</v>
      </c>
      <c r="L84" s="132">
        <v>6351.35</v>
      </c>
      <c r="M84" s="132">
        <v>13441.53</v>
      </c>
      <c r="N84" s="132">
        <v>16626.86</v>
      </c>
      <c r="O84" s="132">
        <v>12281.91</v>
      </c>
      <c r="P84" s="132">
        <v>8434.07</v>
      </c>
      <c r="Q84" s="132">
        <v>10295</v>
      </c>
      <c r="R84" s="237">
        <v>140606.60999999999</v>
      </c>
      <c r="S84" s="6"/>
      <c r="T84" s="132">
        <v>8170.75</v>
      </c>
      <c r="U84" s="132">
        <v>6209.82</v>
      </c>
      <c r="V84" s="132">
        <v>4149.38</v>
      </c>
      <c r="W84" s="132">
        <v>4995.03</v>
      </c>
      <c r="X84" s="132">
        <v>8046.95</v>
      </c>
      <c r="Y84" s="132">
        <v>5649.52</v>
      </c>
      <c r="Z84" s="245">
        <v>37221.449999999997</v>
      </c>
      <c r="AA84" s="3"/>
      <c r="AB84" s="252">
        <f t="shared" si="23"/>
        <v>73175.89</v>
      </c>
      <c r="AC84" s="224">
        <f t="shared" si="24"/>
        <v>-35954.44</v>
      </c>
      <c r="AD84" s="8">
        <f t="shared" si="25"/>
        <v>-0.49134270864351637</v>
      </c>
    </row>
    <row r="85" spans="1:30" x14ac:dyDescent="0.4">
      <c r="A85" s="1" t="s">
        <v>136</v>
      </c>
      <c r="B85" s="193" t="s">
        <v>137</v>
      </c>
      <c r="C85" s="256">
        <v>101207.89</v>
      </c>
      <c r="D85">
        <v>8433.9908333333333</v>
      </c>
      <c r="E85" s="192" t="s">
        <v>19</v>
      </c>
      <c r="F85" s="132">
        <v>1939.09</v>
      </c>
      <c r="G85" s="132">
        <v>2933.03</v>
      </c>
      <c r="H85" s="132">
        <v>1900.39</v>
      </c>
      <c r="I85" s="132">
        <v>391.92</v>
      </c>
      <c r="J85" s="132">
        <v>4186.82</v>
      </c>
      <c r="K85" s="132">
        <v>3669.15</v>
      </c>
      <c r="L85" s="132">
        <v>3413.85</v>
      </c>
      <c r="M85" s="132">
        <v>2478.63</v>
      </c>
      <c r="N85" s="132">
        <v>747</v>
      </c>
      <c r="O85" s="132">
        <v>922.14</v>
      </c>
      <c r="P85" s="132">
        <v>747</v>
      </c>
      <c r="Q85" s="132">
        <v>747</v>
      </c>
      <c r="R85" s="237">
        <v>24076.02</v>
      </c>
      <c r="S85" s="6"/>
      <c r="T85" s="132">
        <v>1188.8399999999999</v>
      </c>
      <c r="U85" s="132">
        <v>1059.52</v>
      </c>
      <c r="V85" s="132">
        <v>763.38</v>
      </c>
      <c r="W85" s="132">
        <v>899.68</v>
      </c>
      <c r="X85" s="132">
        <v>1453.32</v>
      </c>
      <c r="Y85" s="132">
        <v>1742</v>
      </c>
      <c r="Z85" s="245">
        <v>7106.74</v>
      </c>
      <c r="AA85" s="3"/>
      <c r="AB85" s="252">
        <f t="shared" si="23"/>
        <v>15020.4</v>
      </c>
      <c r="AC85" s="224">
        <f t="shared" si="24"/>
        <v>-7913.66</v>
      </c>
      <c r="AD85" s="8">
        <f t="shared" si="25"/>
        <v>-0.52686080264174062</v>
      </c>
    </row>
    <row r="86" spans="1:30" x14ac:dyDescent="0.4">
      <c r="A86" s="1" t="s">
        <v>138</v>
      </c>
      <c r="B86" s="193" t="s">
        <v>139</v>
      </c>
      <c r="C86" s="256">
        <v>14076.63</v>
      </c>
      <c r="D86">
        <v>1173.0525</v>
      </c>
      <c r="E86" s="192" t="s">
        <v>19</v>
      </c>
      <c r="F86" s="132">
        <v>3143.56</v>
      </c>
      <c r="G86" s="132">
        <v>110</v>
      </c>
      <c r="H86" s="131"/>
      <c r="I86" s="131"/>
      <c r="J86" s="132">
        <v>1917.04</v>
      </c>
      <c r="K86" s="132">
        <v>418.46</v>
      </c>
      <c r="L86" s="132">
        <v>272.64999999999998</v>
      </c>
      <c r="M86" s="132">
        <v>137.63</v>
      </c>
      <c r="N86" s="132">
        <v>1131.26</v>
      </c>
      <c r="O86" s="132">
        <v>189</v>
      </c>
      <c r="P86" s="132">
        <v>285</v>
      </c>
      <c r="Q86" s="131"/>
      <c r="R86" s="237">
        <v>7604.6</v>
      </c>
      <c r="S86" s="6"/>
      <c r="T86" s="131"/>
      <c r="U86" s="132">
        <v>458.39</v>
      </c>
      <c r="V86" s="131"/>
      <c r="W86" s="132">
        <v>11269.77</v>
      </c>
      <c r="X86" s="132">
        <v>4393.7299999999996</v>
      </c>
      <c r="Y86" s="132">
        <v>2287.4299999999998</v>
      </c>
      <c r="Z86" s="245">
        <v>18409.32</v>
      </c>
      <c r="AA86" s="3"/>
      <c r="AB86" s="252">
        <f t="shared" si="23"/>
        <v>5589.06</v>
      </c>
      <c r="AC86" s="224">
        <f t="shared" si="24"/>
        <v>12820.259999999998</v>
      </c>
      <c r="AD86" s="8">
        <f t="shared" si="25"/>
        <v>2.2938132709257006</v>
      </c>
    </row>
    <row r="87" spans="1:30" x14ac:dyDescent="0.4">
      <c r="A87" s="1" t="s">
        <v>140</v>
      </c>
      <c r="B87" s="193" t="s">
        <v>141</v>
      </c>
      <c r="C87" s="256">
        <v>286616.74</v>
      </c>
      <c r="D87">
        <v>23884.728333333333</v>
      </c>
      <c r="E87" s="192" t="s">
        <v>19</v>
      </c>
      <c r="F87" s="132">
        <v>23775.9</v>
      </c>
      <c r="G87" s="132">
        <v>21003.38</v>
      </c>
      <c r="H87" s="132">
        <v>15310.38</v>
      </c>
      <c r="I87" s="132">
        <v>20610.38</v>
      </c>
      <c r="J87" s="132">
        <v>21375.9</v>
      </c>
      <c r="K87" s="132">
        <v>23010.38</v>
      </c>
      <c r="L87" s="132">
        <v>21171.27</v>
      </c>
      <c r="M87" s="132">
        <v>22188.42</v>
      </c>
      <c r="N87" s="132">
        <v>21171.27</v>
      </c>
      <c r="O87" s="132">
        <v>21676.48</v>
      </c>
      <c r="P87" s="132">
        <v>21571.27</v>
      </c>
      <c r="Q87" s="132">
        <v>5700</v>
      </c>
      <c r="R87" s="237">
        <v>238565.03</v>
      </c>
      <c r="S87" s="6"/>
      <c r="T87" s="132">
        <v>21371.22</v>
      </c>
      <c r="U87" s="132">
        <v>21571.27</v>
      </c>
      <c r="V87" s="132">
        <v>24009.27</v>
      </c>
      <c r="W87" s="132">
        <v>21609.27</v>
      </c>
      <c r="X87" s="132">
        <v>37480.54</v>
      </c>
      <c r="Y87" s="132">
        <v>18682.419999999998</v>
      </c>
      <c r="Z87" s="245">
        <v>144723.99</v>
      </c>
      <c r="AA87" s="3"/>
      <c r="AB87" s="252">
        <f t="shared" si="23"/>
        <v>125086.32</v>
      </c>
      <c r="AC87" s="224">
        <f t="shared" si="24"/>
        <v>19637.669999999984</v>
      </c>
      <c r="AD87" s="8">
        <f t="shared" si="25"/>
        <v>0.15699294695055369</v>
      </c>
    </row>
    <row r="88" spans="1:30" x14ac:dyDescent="0.4">
      <c r="A88" s="1" t="s">
        <v>142</v>
      </c>
      <c r="B88" s="193" t="s">
        <v>143</v>
      </c>
      <c r="C88" s="256">
        <v>61992.06</v>
      </c>
      <c r="D88">
        <v>5166.0050000000001</v>
      </c>
      <c r="E88" s="192" t="s">
        <v>19</v>
      </c>
      <c r="F88" s="132">
        <v>2393.44</v>
      </c>
      <c r="G88" s="132">
        <v>2820.52</v>
      </c>
      <c r="H88" s="132">
        <v>9397.56</v>
      </c>
      <c r="I88" s="132">
        <v>7626.75</v>
      </c>
      <c r="J88" s="132">
        <v>3054.19</v>
      </c>
      <c r="K88" s="132">
        <v>2975.03</v>
      </c>
      <c r="L88" s="132">
        <v>8202.2900000000009</v>
      </c>
      <c r="M88" s="132">
        <v>3177.96</v>
      </c>
      <c r="N88" s="132">
        <v>3840.76</v>
      </c>
      <c r="O88" s="132">
        <v>7820.67</v>
      </c>
      <c r="P88" s="132">
        <v>2336.4699999999998</v>
      </c>
      <c r="Q88" s="132">
        <v>3455.66</v>
      </c>
      <c r="R88" s="237">
        <v>57101.3</v>
      </c>
      <c r="S88" s="6"/>
      <c r="T88" s="132">
        <v>8143.29</v>
      </c>
      <c r="U88" s="132">
        <v>4615.47</v>
      </c>
      <c r="V88" s="132">
        <v>3414.23</v>
      </c>
      <c r="W88" s="132">
        <v>5777.08</v>
      </c>
      <c r="X88" s="132">
        <v>2624.83</v>
      </c>
      <c r="Y88" s="132">
        <v>3684.88</v>
      </c>
      <c r="Z88" s="245">
        <v>28259.78</v>
      </c>
      <c r="AA88" s="3"/>
      <c r="AB88" s="252">
        <f t="shared" si="23"/>
        <v>28267.489999999998</v>
      </c>
      <c r="AC88" s="224">
        <f t="shared" si="24"/>
        <v>-7.7099999999991269</v>
      </c>
      <c r="AD88" s="8">
        <f t="shared" si="25"/>
        <v>-2.7275148943182179E-4</v>
      </c>
    </row>
    <row r="89" spans="1:30" x14ac:dyDescent="0.4">
      <c r="A89" s="1" t="s">
        <v>144</v>
      </c>
      <c r="B89" s="193" t="s">
        <v>145</v>
      </c>
      <c r="C89" s="256">
        <v>38113.57</v>
      </c>
      <c r="D89">
        <v>3176.1308333333332</v>
      </c>
      <c r="E89" s="192" t="s">
        <v>19</v>
      </c>
      <c r="F89" s="132">
        <v>3323.56</v>
      </c>
      <c r="G89" s="132">
        <v>3347.58</v>
      </c>
      <c r="H89" s="132">
        <v>2961</v>
      </c>
      <c r="I89" s="132">
        <v>3429.85</v>
      </c>
      <c r="J89" s="132">
        <v>3458.62</v>
      </c>
      <c r="K89" s="132">
        <v>3458.62</v>
      </c>
      <c r="L89" s="132">
        <v>3458.62</v>
      </c>
      <c r="M89" s="132">
        <v>3707.49</v>
      </c>
      <c r="N89" s="132">
        <v>3030.84</v>
      </c>
      <c r="O89" s="132">
        <v>2976</v>
      </c>
      <c r="P89" s="132">
        <v>3029.72</v>
      </c>
      <c r="Q89" s="132">
        <v>3504.86</v>
      </c>
      <c r="R89" s="237">
        <v>39686.76</v>
      </c>
      <c r="S89" s="6"/>
      <c r="T89" s="132">
        <v>3167</v>
      </c>
      <c r="U89" s="132">
        <v>3255.43</v>
      </c>
      <c r="V89" s="132">
        <v>3250.43</v>
      </c>
      <c r="W89" s="132">
        <v>3859.87</v>
      </c>
      <c r="X89" s="132">
        <v>3323.56</v>
      </c>
      <c r="Y89" s="132">
        <v>3323.56</v>
      </c>
      <c r="Z89" s="245">
        <v>20179.849999999999</v>
      </c>
      <c r="AA89" s="3"/>
      <c r="AB89" s="252">
        <f t="shared" si="23"/>
        <v>19979.23</v>
      </c>
      <c r="AC89" s="224">
        <f t="shared" si="24"/>
        <v>200.61999999999898</v>
      </c>
      <c r="AD89" s="8">
        <f t="shared" si="25"/>
        <v>1.0041428023001836E-2</v>
      </c>
    </row>
    <row r="90" spans="1:30" x14ac:dyDescent="0.4">
      <c r="A90" s="1" t="s">
        <v>146</v>
      </c>
      <c r="B90" s="193" t="s">
        <v>147</v>
      </c>
      <c r="C90" s="256">
        <v>96714.12</v>
      </c>
      <c r="D90">
        <v>8059.51</v>
      </c>
      <c r="E90" s="192" t="s">
        <v>19</v>
      </c>
      <c r="F90" s="132">
        <v>8681.24</v>
      </c>
      <c r="G90" s="132">
        <v>4627.51</v>
      </c>
      <c r="H90" s="132">
        <v>8101.97</v>
      </c>
      <c r="I90" s="132">
        <v>5813.49</v>
      </c>
      <c r="J90" s="132">
        <v>20427.14</v>
      </c>
      <c r="K90" s="132">
        <v>6917.94</v>
      </c>
      <c r="L90" s="132">
        <v>7016.54</v>
      </c>
      <c r="M90" s="132">
        <v>6920.11</v>
      </c>
      <c r="N90" s="132">
        <v>6583.38</v>
      </c>
      <c r="O90" s="132">
        <v>11947.33</v>
      </c>
      <c r="P90" s="132">
        <v>8277.32</v>
      </c>
      <c r="Q90" s="132">
        <v>6240.5</v>
      </c>
      <c r="R90" s="237">
        <v>101554.47</v>
      </c>
      <c r="S90" s="6"/>
      <c r="T90" s="132">
        <v>6523.24</v>
      </c>
      <c r="U90" s="132">
        <v>12776.46</v>
      </c>
      <c r="V90" s="132">
        <v>3874.16</v>
      </c>
      <c r="W90" s="132">
        <v>6303.99</v>
      </c>
      <c r="X90" s="132">
        <v>4050.91</v>
      </c>
      <c r="Y90" s="132">
        <v>4496.96</v>
      </c>
      <c r="Z90" s="245">
        <v>38025.72</v>
      </c>
      <c r="AA90" s="3"/>
      <c r="AB90" s="252">
        <f t="shared" si="23"/>
        <v>54569.29</v>
      </c>
      <c r="AC90" s="224">
        <f t="shared" si="24"/>
        <v>-16543.57</v>
      </c>
      <c r="AD90" s="8">
        <f t="shared" si="25"/>
        <v>-0.30316630471094641</v>
      </c>
    </row>
    <row r="91" spans="1:30" x14ac:dyDescent="0.4">
      <c r="A91" s="1" t="s">
        <v>148</v>
      </c>
      <c r="B91" s="193" t="s">
        <v>149</v>
      </c>
      <c r="C91" s="256">
        <v>99637.09</v>
      </c>
      <c r="D91">
        <v>8303.0908333333336</v>
      </c>
      <c r="E91" s="192" t="s">
        <v>19</v>
      </c>
      <c r="F91" s="132">
        <v>4774.49</v>
      </c>
      <c r="G91" s="132">
        <v>10149.26</v>
      </c>
      <c r="H91" s="132">
        <v>5306.52</v>
      </c>
      <c r="I91" s="132">
        <v>13642.04</v>
      </c>
      <c r="J91" s="132">
        <v>4926.75</v>
      </c>
      <c r="K91" s="132">
        <v>8181.69</v>
      </c>
      <c r="L91" s="132">
        <v>12086.74</v>
      </c>
      <c r="M91" s="132">
        <v>4471.59</v>
      </c>
      <c r="N91" s="132">
        <v>4623.42</v>
      </c>
      <c r="O91" s="132">
        <v>11135.57</v>
      </c>
      <c r="P91" s="132">
        <v>7262.74</v>
      </c>
      <c r="Q91" s="132">
        <v>2635.58</v>
      </c>
      <c r="R91" s="237">
        <v>89196.39</v>
      </c>
      <c r="S91" s="6"/>
      <c r="T91" s="132">
        <v>9821.68</v>
      </c>
      <c r="U91" s="132">
        <v>8153.8</v>
      </c>
      <c r="V91" s="132">
        <v>10907.28</v>
      </c>
      <c r="W91" s="132">
        <v>3939.19</v>
      </c>
      <c r="X91" s="132">
        <v>8436.36</v>
      </c>
      <c r="Y91" s="132">
        <v>5975.16</v>
      </c>
      <c r="Z91" s="245">
        <v>47233.47</v>
      </c>
      <c r="AA91" s="33"/>
      <c r="AB91" s="252">
        <f t="shared" si="23"/>
        <v>46980.75</v>
      </c>
      <c r="AC91" s="224">
        <f t="shared" si="24"/>
        <v>252.72000000000116</v>
      </c>
      <c r="AD91" s="8">
        <f t="shared" si="25"/>
        <v>5.3792244695966152E-3</v>
      </c>
    </row>
    <row r="92" spans="1:30" x14ac:dyDescent="0.4">
      <c r="A92" s="1" t="s">
        <v>150</v>
      </c>
      <c r="B92" s="193" t="s">
        <v>151</v>
      </c>
      <c r="C92" s="256">
        <v>1960.81</v>
      </c>
      <c r="D92">
        <v>163.40083333333331</v>
      </c>
      <c r="E92" s="192" t="s">
        <v>19</v>
      </c>
      <c r="F92" s="131"/>
      <c r="G92" s="131"/>
      <c r="H92" s="131"/>
      <c r="I92" s="131"/>
      <c r="J92" s="131"/>
      <c r="K92" s="131"/>
      <c r="L92" s="131"/>
      <c r="M92" s="131"/>
      <c r="N92" s="131"/>
      <c r="O92" s="131"/>
      <c r="P92" s="132">
        <v>299</v>
      </c>
      <c r="Q92" s="131"/>
      <c r="R92" s="237">
        <v>299</v>
      </c>
      <c r="S92" s="35"/>
      <c r="T92" s="132">
        <v>810</v>
      </c>
      <c r="U92" s="131"/>
      <c r="V92" s="131"/>
      <c r="W92" s="132">
        <v>2974.22</v>
      </c>
      <c r="X92" s="131"/>
      <c r="Y92" s="131"/>
      <c r="Z92" s="245">
        <v>3784.22</v>
      </c>
      <c r="AA92" s="6"/>
      <c r="AB92" s="252">
        <f t="shared" si="23"/>
        <v>0</v>
      </c>
      <c r="AC92" s="224">
        <f t="shared" si="24"/>
        <v>3784.22</v>
      </c>
      <c r="AD92" s="8" t="e">
        <f t="shared" si="25"/>
        <v>#DIV/0!</v>
      </c>
    </row>
    <row r="93" spans="1:30" x14ac:dyDescent="0.4">
      <c r="A93" s="1" t="s">
        <v>152</v>
      </c>
      <c r="B93" s="193" t="s">
        <v>153</v>
      </c>
      <c r="C93" s="257">
        <v>59611.21</v>
      </c>
      <c r="D93">
        <v>4967.600833333333</v>
      </c>
      <c r="E93" s="192" t="s">
        <v>19</v>
      </c>
      <c r="F93" s="133">
        <v>3104.94</v>
      </c>
      <c r="G93" s="133">
        <v>2930.12</v>
      </c>
      <c r="H93" s="133">
        <v>2272.13</v>
      </c>
      <c r="I93" s="133">
        <v>9383.07</v>
      </c>
      <c r="J93" s="133">
        <v>4459.5200000000004</v>
      </c>
      <c r="K93" s="133">
        <v>2299.9499999999998</v>
      </c>
      <c r="L93" s="133">
        <v>1910.17</v>
      </c>
      <c r="M93" s="133">
        <v>1910.17</v>
      </c>
      <c r="N93" s="133">
        <v>4475.53</v>
      </c>
      <c r="O93" s="133">
        <v>77.069999999999993</v>
      </c>
      <c r="P93" s="133">
        <v>3052.27</v>
      </c>
      <c r="Q93" s="133">
        <v>1910.17</v>
      </c>
      <c r="R93" s="238">
        <v>37785.11</v>
      </c>
      <c r="S93" s="35"/>
      <c r="T93" s="133">
        <v>4140.1099999999997</v>
      </c>
      <c r="U93" s="133">
        <v>120.28</v>
      </c>
      <c r="V93" s="133">
        <v>285.17</v>
      </c>
      <c r="W93" s="133">
        <v>199.79</v>
      </c>
      <c r="X93" s="133">
        <v>2535.17</v>
      </c>
      <c r="Y93" s="133">
        <v>35.17</v>
      </c>
      <c r="Z93" s="246">
        <v>7315.69</v>
      </c>
      <c r="AA93" s="6"/>
      <c r="AB93" s="253">
        <f t="shared" si="23"/>
        <v>24449.73</v>
      </c>
      <c r="AC93" s="11">
        <f t="shared" si="24"/>
        <v>-17134.04</v>
      </c>
      <c r="AD93" s="12">
        <f t="shared" si="25"/>
        <v>-0.70078647085264345</v>
      </c>
    </row>
    <row r="94" spans="1:30" x14ac:dyDescent="0.4">
      <c r="A94" s="1"/>
      <c r="B94" s="193" t="s">
        <v>154</v>
      </c>
      <c r="C94" s="257">
        <v>3426450.12</v>
      </c>
      <c r="D94">
        <v>285537.51</v>
      </c>
      <c r="E94" s="192" t="s">
        <v>19</v>
      </c>
      <c r="F94" s="133">
        <v>315490.62</v>
      </c>
      <c r="G94" s="133">
        <v>222958.1</v>
      </c>
      <c r="H94" s="133">
        <v>237777.79</v>
      </c>
      <c r="I94" s="133">
        <v>236867.81</v>
      </c>
      <c r="J94" s="133">
        <v>292083.53000000003</v>
      </c>
      <c r="K94" s="133">
        <v>289271.46000000002</v>
      </c>
      <c r="L94" s="133">
        <v>237892.69</v>
      </c>
      <c r="M94" s="133">
        <v>215536.21</v>
      </c>
      <c r="N94" s="133">
        <v>253086.04</v>
      </c>
      <c r="O94" s="133">
        <v>182712.91</v>
      </c>
      <c r="P94" s="133">
        <v>205586.56</v>
      </c>
      <c r="Q94" s="133">
        <v>204843.74</v>
      </c>
      <c r="R94" s="238">
        <v>2894107.46</v>
      </c>
      <c r="S94" s="6"/>
      <c r="T94" s="133">
        <v>212092.86</v>
      </c>
      <c r="U94" s="133">
        <v>217781.78</v>
      </c>
      <c r="V94" s="133">
        <v>242102.43</v>
      </c>
      <c r="W94" s="133">
        <v>217010.44</v>
      </c>
      <c r="X94" s="133">
        <v>216463.15</v>
      </c>
      <c r="Y94" s="133">
        <v>229770.68</v>
      </c>
      <c r="Z94" s="246">
        <v>1335221.3400000001</v>
      </c>
      <c r="AA94" s="33"/>
      <c r="AB94" s="238">
        <f>SUM(AB69:AB93)</f>
        <v>1594449.3099999998</v>
      </c>
      <c r="AC94" s="229">
        <f>SUM(AC69:AC93)</f>
        <v>-259227.96999999997</v>
      </c>
      <c r="AD94" s="12">
        <f t="shared" ref="AD94:AD132" si="26">+AC94/AB94</f>
        <v>-0.1625815059620804</v>
      </c>
    </row>
    <row r="95" spans="1:30" x14ac:dyDescent="0.4">
      <c r="A95" s="1"/>
      <c r="B95" s="193"/>
      <c r="C95" s="256"/>
      <c r="D95"/>
      <c r="E95" s="192" t="s">
        <v>19</v>
      </c>
      <c r="F95" s="131"/>
      <c r="G95" s="131"/>
      <c r="H95" s="131"/>
      <c r="I95" s="131"/>
      <c r="J95" s="131"/>
      <c r="K95" s="131"/>
      <c r="L95" s="131"/>
      <c r="M95" s="131"/>
      <c r="N95" s="131"/>
      <c r="O95" s="131"/>
      <c r="P95" s="131"/>
      <c r="Q95" s="131"/>
      <c r="R95" s="237"/>
      <c r="S95" s="6"/>
      <c r="T95" s="131"/>
      <c r="U95" s="131"/>
      <c r="V95" s="131"/>
      <c r="W95" s="131"/>
      <c r="X95" s="131"/>
      <c r="Y95" s="131"/>
      <c r="Z95" s="245"/>
      <c r="AA95" s="33"/>
      <c r="AB95" s="237"/>
      <c r="AC95" s="4"/>
      <c r="AD95" s="5"/>
    </row>
    <row r="96" spans="1:30" x14ac:dyDescent="0.4">
      <c r="A96" s="1"/>
      <c r="B96" s="193" t="s">
        <v>59</v>
      </c>
      <c r="C96" s="256"/>
      <c r="D96"/>
      <c r="E96" s="192" t="s">
        <v>19</v>
      </c>
      <c r="F96" s="131"/>
      <c r="G96" s="131"/>
      <c r="H96" s="131"/>
      <c r="I96" s="131"/>
      <c r="J96" s="131"/>
      <c r="K96" s="131"/>
      <c r="L96" s="131"/>
      <c r="M96" s="131"/>
      <c r="N96" s="131"/>
      <c r="O96" s="131"/>
      <c r="P96" s="131"/>
      <c r="Q96" s="131"/>
      <c r="R96" s="237"/>
      <c r="S96" s="6"/>
      <c r="T96" s="131"/>
      <c r="U96" s="131"/>
      <c r="V96" s="131"/>
      <c r="W96" s="131"/>
      <c r="X96" s="131"/>
      <c r="Y96" s="131"/>
      <c r="Z96" s="245"/>
      <c r="AA96" s="3"/>
      <c r="AB96" s="237"/>
      <c r="AC96" s="4"/>
      <c r="AD96" s="5"/>
    </row>
    <row r="97" spans="1:30" x14ac:dyDescent="0.4">
      <c r="A97" s="1" t="s">
        <v>155</v>
      </c>
      <c r="B97" s="193" t="s">
        <v>156</v>
      </c>
      <c r="C97" s="256">
        <v>38789.75</v>
      </c>
      <c r="D97">
        <v>3232.4791666666665</v>
      </c>
      <c r="E97" s="192" t="s">
        <v>19</v>
      </c>
      <c r="F97" s="132">
        <v>2257.75</v>
      </c>
      <c r="G97" s="132">
        <v>2418.92</v>
      </c>
      <c r="H97" s="132">
        <v>6964.38</v>
      </c>
      <c r="I97" s="132">
        <v>3278.46</v>
      </c>
      <c r="J97" s="132">
        <v>2077.94</v>
      </c>
      <c r="K97" s="132">
        <v>2085.46</v>
      </c>
      <c r="L97" s="132">
        <v>2335.46</v>
      </c>
      <c r="M97" s="132">
        <v>2085.5700000000002</v>
      </c>
      <c r="N97" s="132">
        <v>2240.86</v>
      </c>
      <c r="O97" s="132">
        <v>2083.25</v>
      </c>
      <c r="P97" s="132">
        <v>2086.39</v>
      </c>
      <c r="Q97" s="132">
        <v>2056.54</v>
      </c>
      <c r="R97" s="237">
        <v>31970.98</v>
      </c>
      <c r="S97" s="6"/>
      <c r="T97" s="132">
        <v>2186.2399999999998</v>
      </c>
      <c r="U97" s="132">
        <v>1930.28</v>
      </c>
      <c r="V97" s="132">
        <v>7268.95</v>
      </c>
      <c r="W97" s="132">
        <v>1926.63</v>
      </c>
      <c r="X97" s="132">
        <v>2116.96</v>
      </c>
      <c r="Y97" s="132">
        <v>2116.96</v>
      </c>
      <c r="Z97" s="245">
        <v>17546.02</v>
      </c>
      <c r="AA97" s="3"/>
      <c r="AB97" s="252">
        <f t="shared" ref="AB97:AB106" si="27">SUM(F97:K97)</f>
        <v>19082.909999999996</v>
      </c>
      <c r="AC97" s="224">
        <f>+Z97-AB97</f>
        <v>-1536.8899999999958</v>
      </c>
      <c r="AD97" s="8">
        <f t="shared" si="26"/>
        <v>-8.0537507120245086E-2</v>
      </c>
    </row>
    <row r="98" spans="1:30" x14ac:dyDescent="0.4">
      <c r="A98" s="1" t="s">
        <v>157</v>
      </c>
      <c r="B98" s="193" t="s">
        <v>158</v>
      </c>
      <c r="C98" s="256">
        <v>-2252555.7799999998</v>
      </c>
      <c r="D98">
        <v>-187712.98166666666</v>
      </c>
      <c r="E98" s="192" t="s">
        <v>19</v>
      </c>
      <c r="F98" s="132">
        <v>6762.06</v>
      </c>
      <c r="G98" s="132">
        <v>6477.65</v>
      </c>
      <c r="H98" s="132">
        <v>7875.98</v>
      </c>
      <c r="I98" s="132">
        <v>5466.8</v>
      </c>
      <c r="J98" s="132">
        <v>9210.52</v>
      </c>
      <c r="K98" s="132">
        <v>9177.33</v>
      </c>
      <c r="L98" s="132">
        <v>7340.23</v>
      </c>
      <c r="M98" s="132">
        <v>6742.83</v>
      </c>
      <c r="N98" s="132">
        <v>9134.56</v>
      </c>
      <c r="O98" s="132">
        <v>8623.6299999999992</v>
      </c>
      <c r="P98" s="132">
        <v>3193.11</v>
      </c>
      <c r="Q98" s="132">
        <v>7944.17</v>
      </c>
      <c r="R98" s="237">
        <v>87948.87</v>
      </c>
      <c r="S98" s="6"/>
      <c r="T98" s="132">
        <v>5050.63</v>
      </c>
      <c r="U98" s="132">
        <v>5526.82</v>
      </c>
      <c r="V98" s="132">
        <v>4059.31</v>
      </c>
      <c r="W98" s="132">
        <v>12280.87</v>
      </c>
      <c r="X98" s="132">
        <v>12197.51</v>
      </c>
      <c r="Y98" s="132">
        <v>2841.98</v>
      </c>
      <c r="Z98" s="245">
        <v>41957.120000000003</v>
      </c>
      <c r="AA98" s="3"/>
      <c r="AB98" s="252">
        <f t="shared" si="27"/>
        <v>44970.34</v>
      </c>
      <c r="AC98" s="224">
        <f t="shared" ref="AC98:AC106" si="28">+Z98-AB98</f>
        <v>-3013.2199999999939</v>
      </c>
      <c r="AD98" s="8">
        <f t="shared" ref="AD98:AD106" si="29">+AC98/AB98</f>
        <v>-6.7004607926024001E-2</v>
      </c>
    </row>
    <row r="99" spans="1:30" x14ac:dyDescent="0.4">
      <c r="A99" s="1" t="s">
        <v>159</v>
      </c>
      <c r="B99" s="193" t="s">
        <v>160</v>
      </c>
      <c r="C99" s="256">
        <v>3558.79</v>
      </c>
      <c r="D99">
        <v>296.56583333333327</v>
      </c>
      <c r="E99" s="192" t="s">
        <v>19</v>
      </c>
      <c r="F99" s="131"/>
      <c r="G99" s="132">
        <v>1319.87</v>
      </c>
      <c r="H99" s="131"/>
      <c r="I99" s="132">
        <v>200</v>
      </c>
      <c r="J99" s="131"/>
      <c r="K99" s="131"/>
      <c r="L99" s="131"/>
      <c r="M99" s="131"/>
      <c r="N99" s="131"/>
      <c r="O99" s="131"/>
      <c r="P99" s="131"/>
      <c r="Q99" s="131"/>
      <c r="R99" s="237">
        <v>1519.87</v>
      </c>
      <c r="S99" s="6"/>
      <c r="T99" s="131"/>
      <c r="U99" s="131"/>
      <c r="V99" s="132">
        <v>117.89</v>
      </c>
      <c r="W99" s="131"/>
      <c r="X99" s="131"/>
      <c r="Y99" s="131"/>
      <c r="Z99" s="245">
        <v>117.89</v>
      </c>
      <c r="AA99" s="3"/>
      <c r="AB99" s="252">
        <f t="shared" si="27"/>
        <v>1519.87</v>
      </c>
      <c r="AC99" s="224">
        <f t="shared" si="28"/>
        <v>-1401.9799999999998</v>
      </c>
      <c r="AD99" s="8">
        <f t="shared" si="29"/>
        <v>-0.92243415555277752</v>
      </c>
    </row>
    <row r="100" spans="1:30" x14ac:dyDescent="0.4">
      <c r="A100" s="1" t="s">
        <v>161</v>
      </c>
      <c r="B100" s="193" t="s">
        <v>162</v>
      </c>
      <c r="C100" s="256">
        <v>3600</v>
      </c>
      <c r="D100">
        <v>300</v>
      </c>
      <c r="E100" s="192" t="s">
        <v>19</v>
      </c>
      <c r="F100" s="132">
        <v>3600</v>
      </c>
      <c r="G100" s="131"/>
      <c r="H100" s="131"/>
      <c r="I100" s="131"/>
      <c r="J100" s="131"/>
      <c r="K100" s="131"/>
      <c r="L100" s="131"/>
      <c r="M100" s="131"/>
      <c r="N100" s="132">
        <v>3275</v>
      </c>
      <c r="O100" s="131"/>
      <c r="P100" s="131"/>
      <c r="Q100" s="131"/>
      <c r="R100" s="237">
        <v>6875</v>
      </c>
      <c r="S100" s="6"/>
      <c r="T100" s="132">
        <v>3875</v>
      </c>
      <c r="U100" s="131"/>
      <c r="V100" s="131"/>
      <c r="W100" s="131"/>
      <c r="X100" s="131"/>
      <c r="Y100" s="131"/>
      <c r="Z100" s="245">
        <v>3875</v>
      </c>
      <c r="AA100" s="3"/>
      <c r="AB100" s="252">
        <f t="shared" si="27"/>
        <v>3600</v>
      </c>
      <c r="AC100" s="224">
        <f t="shared" si="28"/>
        <v>275</v>
      </c>
      <c r="AD100" s="8">
        <f t="shared" si="29"/>
        <v>7.6388888888888895E-2</v>
      </c>
    </row>
    <row r="101" spans="1:30" x14ac:dyDescent="0.4">
      <c r="A101" s="1" t="s">
        <v>163</v>
      </c>
      <c r="B101" s="193" t="s">
        <v>164</v>
      </c>
      <c r="C101" s="256">
        <v>70505</v>
      </c>
      <c r="D101">
        <v>5875.416666666667</v>
      </c>
      <c r="E101" s="192" t="s">
        <v>19</v>
      </c>
      <c r="F101" s="132">
        <v>12818</v>
      </c>
      <c r="G101" s="132">
        <v>4470</v>
      </c>
      <c r="H101" s="132">
        <v>4470</v>
      </c>
      <c r="I101" s="132">
        <v>4470</v>
      </c>
      <c r="J101" s="132">
        <v>4470</v>
      </c>
      <c r="K101" s="132">
        <v>4470</v>
      </c>
      <c r="L101" s="132">
        <v>4470</v>
      </c>
      <c r="M101" s="132">
        <v>4470</v>
      </c>
      <c r="N101" s="132">
        <v>4470</v>
      </c>
      <c r="O101" s="132">
        <v>4470</v>
      </c>
      <c r="P101" s="132">
        <v>4470</v>
      </c>
      <c r="Q101" s="132">
        <v>4470</v>
      </c>
      <c r="R101" s="237">
        <v>61988</v>
      </c>
      <c r="S101" s="6"/>
      <c r="T101" s="132">
        <v>1480</v>
      </c>
      <c r="U101" s="132">
        <v>1480</v>
      </c>
      <c r="V101" s="132">
        <v>1480</v>
      </c>
      <c r="W101" s="132">
        <v>1480</v>
      </c>
      <c r="X101" s="132">
        <v>12818</v>
      </c>
      <c r="Y101" s="132">
        <v>1480</v>
      </c>
      <c r="Z101" s="245">
        <v>20218</v>
      </c>
      <c r="AA101" s="3"/>
      <c r="AB101" s="252">
        <f t="shared" si="27"/>
        <v>35168</v>
      </c>
      <c r="AC101" s="224">
        <f t="shared" si="28"/>
        <v>-14950</v>
      </c>
      <c r="AD101" s="8">
        <f t="shared" si="29"/>
        <v>-0.42510236578707916</v>
      </c>
    </row>
    <row r="102" spans="1:30" x14ac:dyDescent="0.4">
      <c r="A102" s="1" t="s">
        <v>165</v>
      </c>
      <c r="B102" s="193" t="s">
        <v>166</v>
      </c>
      <c r="C102" s="256">
        <v>140447.31</v>
      </c>
      <c r="D102">
        <v>11703.942499999999</v>
      </c>
      <c r="E102" s="192" t="s">
        <v>19</v>
      </c>
      <c r="F102" s="132">
        <v>2860.82</v>
      </c>
      <c r="G102" s="132">
        <v>16774.62</v>
      </c>
      <c r="H102" s="132">
        <v>14070.28</v>
      </c>
      <c r="I102" s="132">
        <v>10345.08</v>
      </c>
      <c r="J102" s="132">
        <v>8091.38</v>
      </c>
      <c r="K102" s="132">
        <v>5254.49</v>
      </c>
      <c r="L102" s="132">
        <v>2750.84</v>
      </c>
      <c r="M102" s="132">
        <v>7557.1</v>
      </c>
      <c r="N102" s="132">
        <v>6934.32</v>
      </c>
      <c r="O102" s="132">
        <v>14799.91</v>
      </c>
      <c r="P102" s="132">
        <v>13847.62</v>
      </c>
      <c r="Q102" s="132">
        <v>18896.060000000001</v>
      </c>
      <c r="R102" s="237">
        <v>122182.52</v>
      </c>
      <c r="S102" s="6"/>
      <c r="T102" s="132">
        <v>5933.41</v>
      </c>
      <c r="U102" s="132">
        <v>5195.46</v>
      </c>
      <c r="V102" s="132">
        <v>9230.2999999999993</v>
      </c>
      <c r="W102" s="132">
        <v>7256.06</v>
      </c>
      <c r="X102" s="132">
        <v>4434.1000000000004</v>
      </c>
      <c r="Y102" s="132">
        <v>15553.83</v>
      </c>
      <c r="Z102" s="245">
        <v>47603.16</v>
      </c>
      <c r="AA102" s="3"/>
      <c r="AB102" s="252">
        <f t="shared" si="27"/>
        <v>57396.67</v>
      </c>
      <c r="AC102" s="224">
        <f t="shared" si="28"/>
        <v>-9793.5099999999948</v>
      </c>
      <c r="AD102" s="8">
        <f t="shared" si="29"/>
        <v>-0.17062853994839761</v>
      </c>
    </row>
    <row r="103" spans="1:30" x14ac:dyDescent="0.4">
      <c r="A103" s="1" t="s">
        <v>167</v>
      </c>
      <c r="B103" s="193" t="s">
        <v>168</v>
      </c>
      <c r="C103" s="256">
        <v>61499.29</v>
      </c>
      <c r="D103">
        <v>5124.9408333333331</v>
      </c>
      <c r="E103" s="192" t="s">
        <v>19</v>
      </c>
      <c r="F103" s="132">
        <v>6537.54</v>
      </c>
      <c r="G103" s="132">
        <v>6527.6</v>
      </c>
      <c r="H103" s="132">
        <v>6557.58</v>
      </c>
      <c r="I103" s="132">
        <v>6545.7</v>
      </c>
      <c r="J103" s="132">
        <v>7249.48</v>
      </c>
      <c r="K103" s="132">
        <v>4409.57</v>
      </c>
      <c r="L103" s="132">
        <v>2484.16</v>
      </c>
      <c r="M103" s="132">
        <v>1380.34</v>
      </c>
      <c r="N103" s="132">
        <v>793.14</v>
      </c>
      <c r="O103" s="132">
        <v>6980.44</v>
      </c>
      <c r="P103" s="132">
        <v>3756.55</v>
      </c>
      <c r="Q103" s="132">
        <v>3941.52</v>
      </c>
      <c r="R103" s="237">
        <v>57163.62</v>
      </c>
      <c r="S103" s="6"/>
      <c r="T103" s="132">
        <v>1482.4</v>
      </c>
      <c r="U103" s="132">
        <v>6253.51</v>
      </c>
      <c r="V103" s="132">
        <v>3766.75</v>
      </c>
      <c r="W103" s="132">
        <v>7735.84</v>
      </c>
      <c r="X103" s="132">
        <v>6336.04</v>
      </c>
      <c r="Y103" s="132">
        <v>6179.96</v>
      </c>
      <c r="Z103" s="245">
        <v>31754.5</v>
      </c>
      <c r="AA103" s="3"/>
      <c r="AB103" s="252">
        <f t="shared" si="27"/>
        <v>37827.47</v>
      </c>
      <c r="AC103" s="224">
        <f t="shared" si="28"/>
        <v>-6072.9700000000012</v>
      </c>
      <c r="AD103" s="8">
        <f t="shared" si="29"/>
        <v>-0.16054391160709403</v>
      </c>
    </row>
    <row r="104" spans="1:30" x14ac:dyDescent="0.4">
      <c r="A104" s="1" t="s">
        <v>169</v>
      </c>
      <c r="B104" s="193" t="s">
        <v>170</v>
      </c>
      <c r="C104" s="256">
        <v>26551.35</v>
      </c>
      <c r="D104">
        <v>2212.6125000000002</v>
      </c>
      <c r="E104" s="192" t="s">
        <v>19</v>
      </c>
      <c r="F104" s="131"/>
      <c r="G104" s="131"/>
      <c r="H104" s="132">
        <v>1380.48</v>
      </c>
      <c r="I104" s="132">
        <v>2033.96</v>
      </c>
      <c r="J104" s="132">
        <v>50.8</v>
      </c>
      <c r="K104" s="131"/>
      <c r="L104" s="132">
        <v>467.64</v>
      </c>
      <c r="M104" s="131"/>
      <c r="N104" s="131"/>
      <c r="O104" s="131"/>
      <c r="P104" s="132">
        <v>181.77</v>
      </c>
      <c r="Q104" s="132">
        <v>996</v>
      </c>
      <c r="R104" s="237">
        <v>5110.6499999999996</v>
      </c>
      <c r="S104" s="6"/>
      <c r="T104" s="131"/>
      <c r="U104" s="131"/>
      <c r="V104" s="132">
        <v>22</v>
      </c>
      <c r="W104" s="132">
        <v>22</v>
      </c>
      <c r="X104" s="132">
        <v>3299.28</v>
      </c>
      <c r="Y104" s="132">
        <v>22</v>
      </c>
      <c r="Z104" s="245">
        <v>3365.28</v>
      </c>
      <c r="AA104" s="3"/>
      <c r="AB104" s="252">
        <f t="shared" si="27"/>
        <v>3465.2400000000002</v>
      </c>
      <c r="AC104" s="224">
        <f t="shared" si="28"/>
        <v>-99.960000000000036</v>
      </c>
      <c r="AD104" s="8">
        <f t="shared" si="29"/>
        <v>-2.8846486823423494E-2</v>
      </c>
    </row>
    <row r="105" spans="1:30" x14ac:dyDescent="0.4">
      <c r="A105" s="1" t="s">
        <v>171</v>
      </c>
      <c r="B105" s="193" t="s">
        <v>172</v>
      </c>
      <c r="C105" s="256">
        <v>315868.7</v>
      </c>
      <c r="D105">
        <v>26322.391666666666</v>
      </c>
      <c r="E105" s="192" t="s">
        <v>19</v>
      </c>
      <c r="F105" s="132">
        <v>27318.28</v>
      </c>
      <c r="G105" s="132">
        <v>26128.1</v>
      </c>
      <c r="H105" s="132">
        <v>25880.09</v>
      </c>
      <c r="I105" s="132">
        <v>26206.76</v>
      </c>
      <c r="J105" s="132">
        <v>26492.43</v>
      </c>
      <c r="K105" s="132">
        <v>26477.41</v>
      </c>
      <c r="L105" s="132">
        <v>11486.04</v>
      </c>
      <c r="M105" s="132">
        <v>35948.03</v>
      </c>
      <c r="N105" s="132">
        <v>25716.14</v>
      </c>
      <c r="O105" s="132">
        <v>42790.1</v>
      </c>
      <c r="P105" s="132">
        <v>11270</v>
      </c>
      <c r="Q105" s="132">
        <v>32870.82</v>
      </c>
      <c r="R105" s="237">
        <v>318584.2</v>
      </c>
      <c r="S105" s="35"/>
      <c r="T105" s="132">
        <v>22309.74</v>
      </c>
      <c r="U105" s="132">
        <v>27927.45</v>
      </c>
      <c r="V105" s="132">
        <v>36914.19</v>
      </c>
      <c r="W105" s="132">
        <v>28189.25</v>
      </c>
      <c r="X105" s="132">
        <v>39062.03</v>
      </c>
      <c r="Y105" s="132">
        <v>38591.699999999997</v>
      </c>
      <c r="Z105" s="245">
        <v>192994.36</v>
      </c>
      <c r="AA105" s="6"/>
      <c r="AB105" s="252">
        <f t="shared" si="27"/>
        <v>158503.07</v>
      </c>
      <c r="AC105" s="224">
        <f t="shared" si="28"/>
        <v>34491.289999999979</v>
      </c>
      <c r="AD105" s="8">
        <f t="shared" si="29"/>
        <v>0.21760644762274936</v>
      </c>
    </row>
    <row r="106" spans="1:30" x14ac:dyDescent="0.4">
      <c r="A106" s="1" t="s">
        <v>173</v>
      </c>
      <c r="B106" s="193" t="s">
        <v>174</v>
      </c>
      <c r="C106" s="257">
        <v>141468.04</v>
      </c>
      <c r="D106">
        <v>11789.003333333334</v>
      </c>
      <c r="E106" s="192" t="s">
        <v>19</v>
      </c>
      <c r="F106" s="133">
        <v>17667.04</v>
      </c>
      <c r="G106" s="133">
        <v>15386.73</v>
      </c>
      <c r="H106" s="133">
        <v>16592.54</v>
      </c>
      <c r="I106" s="133">
        <v>17354.64</v>
      </c>
      <c r="J106" s="133">
        <v>11736.4</v>
      </c>
      <c r="K106" s="133">
        <v>9726.61</v>
      </c>
      <c r="L106" s="133">
        <v>11966.37</v>
      </c>
      <c r="M106" s="133">
        <v>20715.939999999999</v>
      </c>
      <c r="N106" s="133">
        <v>18102.59</v>
      </c>
      <c r="O106" s="133">
        <v>14568.57</v>
      </c>
      <c r="P106" s="133">
        <v>16595.95</v>
      </c>
      <c r="Q106" s="133">
        <v>16233.42</v>
      </c>
      <c r="R106" s="238">
        <v>186646.8</v>
      </c>
      <c r="S106" s="35"/>
      <c r="T106" s="133">
        <v>20460.759999999998</v>
      </c>
      <c r="U106" s="133">
        <v>14019.83</v>
      </c>
      <c r="V106" s="133">
        <v>15591.27</v>
      </c>
      <c r="W106" s="133">
        <v>12283.51</v>
      </c>
      <c r="X106" s="133">
        <v>19754.86</v>
      </c>
      <c r="Y106" s="133">
        <v>15931.43</v>
      </c>
      <c r="Z106" s="246">
        <v>98041.66</v>
      </c>
      <c r="AA106" s="6"/>
      <c r="AB106" s="253">
        <f t="shared" si="27"/>
        <v>88463.96</v>
      </c>
      <c r="AC106" s="11">
        <f t="shared" si="28"/>
        <v>9577.6999999999971</v>
      </c>
      <c r="AD106" s="12">
        <f t="shared" si="29"/>
        <v>0.10826668849099674</v>
      </c>
    </row>
    <row r="107" spans="1:30" x14ac:dyDescent="0.4">
      <c r="A107" s="1"/>
      <c r="B107" s="193" t="s">
        <v>175</v>
      </c>
      <c r="C107" s="257">
        <v>-1450267.55</v>
      </c>
      <c r="D107">
        <v>-120855.62916666667</v>
      </c>
      <c r="E107" s="192" t="s">
        <v>19</v>
      </c>
      <c r="F107" s="133">
        <v>79821.490000000005</v>
      </c>
      <c r="G107" s="133">
        <v>79503.490000000005</v>
      </c>
      <c r="H107" s="133">
        <v>83791.33</v>
      </c>
      <c r="I107" s="133">
        <v>75901.399999999994</v>
      </c>
      <c r="J107" s="133">
        <v>69378.95</v>
      </c>
      <c r="K107" s="133">
        <v>61600.87</v>
      </c>
      <c r="L107" s="133">
        <v>43300.74</v>
      </c>
      <c r="M107" s="133">
        <v>78899.81</v>
      </c>
      <c r="N107" s="133">
        <v>70666.61</v>
      </c>
      <c r="O107" s="133">
        <v>94315.9</v>
      </c>
      <c r="P107" s="133">
        <v>55401.39</v>
      </c>
      <c r="Q107" s="133">
        <v>87408.53</v>
      </c>
      <c r="R107" s="238">
        <v>879990.51</v>
      </c>
      <c r="S107" s="6"/>
      <c r="T107" s="133">
        <v>62778.18</v>
      </c>
      <c r="U107" s="133">
        <v>62333.35</v>
      </c>
      <c r="V107" s="133">
        <v>78450.66</v>
      </c>
      <c r="W107" s="133">
        <v>71174.16</v>
      </c>
      <c r="X107" s="133">
        <v>100018.78</v>
      </c>
      <c r="Y107" s="133">
        <v>82717.86</v>
      </c>
      <c r="Z107" s="246">
        <v>457472.99</v>
      </c>
      <c r="AA107" s="33"/>
      <c r="AB107" s="238">
        <f>SUM(AB97:AB106)</f>
        <v>449997.52999999997</v>
      </c>
      <c r="AC107" s="229">
        <f>SUM(AC97:AC106)</f>
        <v>7475.4599999999919</v>
      </c>
      <c r="AD107" s="12">
        <f t="shared" si="26"/>
        <v>1.6612224515987883E-2</v>
      </c>
    </row>
    <row r="108" spans="1:30" x14ac:dyDescent="0.4">
      <c r="A108" s="1"/>
      <c r="B108" s="193"/>
      <c r="C108" s="256"/>
      <c r="D108"/>
      <c r="E108" s="192" t="s">
        <v>19</v>
      </c>
      <c r="F108" s="131"/>
      <c r="G108" s="131"/>
      <c r="H108" s="131"/>
      <c r="I108" s="131"/>
      <c r="J108" s="131"/>
      <c r="K108" s="131"/>
      <c r="L108" s="131"/>
      <c r="M108" s="131"/>
      <c r="N108" s="131"/>
      <c r="O108" s="131"/>
      <c r="P108" s="131"/>
      <c r="Q108" s="131"/>
      <c r="R108" s="237"/>
      <c r="S108" s="6"/>
      <c r="T108" s="131"/>
      <c r="U108" s="131"/>
      <c r="V108" s="131"/>
      <c r="W108" s="131"/>
      <c r="X108" s="131"/>
      <c r="Y108" s="131"/>
      <c r="Z108" s="245"/>
      <c r="AA108" s="33"/>
      <c r="AB108" s="237"/>
      <c r="AC108" s="4"/>
      <c r="AD108" s="5"/>
    </row>
    <row r="109" spans="1:30" x14ac:dyDescent="0.4">
      <c r="A109" s="1"/>
      <c r="B109" s="193" t="s">
        <v>60</v>
      </c>
      <c r="C109" s="256"/>
      <c r="D109"/>
      <c r="E109" s="192" t="s">
        <v>19</v>
      </c>
      <c r="F109" s="131"/>
      <c r="G109" s="131"/>
      <c r="H109" s="131"/>
      <c r="I109" s="131"/>
      <c r="J109" s="131"/>
      <c r="K109" s="131"/>
      <c r="L109" s="131"/>
      <c r="M109" s="131"/>
      <c r="N109" s="131"/>
      <c r="O109" s="131"/>
      <c r="P109" s="131"/>
      <c r="Q109" s="131"/>
      <c r="R109" s="237"/>
      <c r="S109" s="6"/>
      <c r="T109" s="131"/>
      <c r="U109" s="131"/>
      <c r="V109" s="131"/>
      <c r="W109" s="131"/>
      <c r="X109" s="131"/>
      <c r="Y109" s="131"/>
      <c r="Z109" s="245"/>
      <c r="AA109" s="3"/>
      <c r="AB109" s="237"/>
      <c r="AC109" s="4"/>
      <c r="AD109" s="5"/>
    </row>
    <row r="110" spans="1:30" x14ac:dyDescent="0.4">
      <c r="A110" s="1" t="s">
        <v>176</v>
      </c>
      <c r="B110" s="193" t="s">
        <v>177</v>
      </c>
      <c r="C110" s="256">
        <v>160123.12</v>
      </c>
      <c r="D110">
        <v>13343.593333333334</v>
      </c>
      <c r="E110" s="192" t="s">
        <v>19</v>
      </c>
      <c r="F110" s="132">
        <v>15175.6</v>
      </c>
      <c r="G110" s="132">
        <v>16360.71</v>
      </c>
      <c r="H110" s="132">
        <v>14354.29</v>
      </c>
      <c r="I110" s="132">
        <v>15281.88</v>
      </c>
      <c r="J110" s="132">
        <v>12654.38</v>
      </c>
      <c r="K110" s="132">
        <v>12955.7</v>
      </c>
      <c r="L110" s="132">
        <v>8138.79</v>
      </c>
      <c r="M110" s="132">
        <v>4136.07</v>
      </c>
      <c r="N110" s="132">
        <v>13699.08</v>
      </c>
      <c r="O110" s="132">
        <v>9042.57</v>
      </c>
      <c r="P110" s="132">
        <v>7237</v>
      </c>
      <c r="Q110" s="132">
        <v>13134.17</v>
      </c>
      <c r="R110" s="237">
        <v>142170.23999999999</v>
      </c>
      <c r="S110" s="6"/>
      <c r="T110" s="132">
        <v>9433.0300000000007</v>
      </c>
      <c r="U110" s="132">
        <v>14550.32</v>
      </c>
      <c r="V110" s="132">
        <v>6633.4</v>
      </c>
      <c r="W110" s="132">
        <v>16569.330000000002</v>
      </c>
      <c r="X110" s="132">
        <v>5854.98</v>
      </c>
      <c r="Y110" s="132">
        <v>9043.74</v>
      </c>
      <c r="Z110" s="245">
        <v>62084.800000000003</v>
      </c>
      <c r="AA110" s="3"/>
      <c r="AB110" s="252">
        <f t="shared" ref="AB110:AB121" si="30">SUM(F110:K110)</f>
        <v>86782.56</v>
      </c>
      <c r="AC110" s="224">
        <f>+Z110-AB110</f>
        <v>-24697.759999999995</v>
      </c>
      <c r="AD110" s="8">
        <f t="shared" si="26"/>
        <v>-0.28459358654549943</v>
      </c>
    </row>
    <row r="111" spans="1:30" x14ac:dyDescent="0.4">
      <c r="A111" s="1" t="s">
        <v>178</v>
      </c>
      <c r="B111" s="193" t="s">
        <v>179</v>
      </c>
      <c r="C111" s="256">
        <v>21598.75</v>
      </c>
      <c r="D111">
        <v>1799.8958333333333</v>
      </c>
      <c r="E111" s="192" t="s">
        <v>19</v>
      </c>
      <c r="F111" s="131"/>
      <c r="G111" s="132">
        <v>9884.02</v>
      </c>
      <c r="H111" s="131"/>
      <c r="I111" s="131"/>
      <c r="J111" s="131"/>
      <c r="K111" s="132">
        <v>236.81</v>
      </c>
      <c r="L111" s="131"/>
      <c r="M111" s="131"/>
      <c r="N111" s="131"/>
      <c r="O111" s="132">
        <v>9001.82</v>
      </c>
      <c r="P111" s="131"/>
      <c r="Q111" s="131"/>
      <c r="R111" s="237">
        <v>19122.650000000001</v>
      </c>
      <c r="S111" s="6"/>
      <c r="T111" s="132">
        <v>5000</v>
      </c>
      <c r="U111" s="132">
        <v>1727.31</v>
      </c>
      <c r="V111" s="132">
        <v>12481.09</v>
      </c>
      <c r="W111" s="131"/>
      <c r="X111" s="131"/>
      <c r="Y111" s="132">
        <v>200.39</v>
      </c>
      <c r="Z111" s="245">
        <v>19408.79</v>
      </c>
      <c r="AA111" s="3"/>
      <c r="AB111" s="252">
        <f t="shared" si="30"/>
        <v>10120.83</v>
      </c>
      <c r="AC111" s="224">
        <f t="shared" ref="AC111:AC121" si="31">+Z111-AB111</f>
        <v>9287.9600000000009</v>
      </c>
      <c r="AD111" s="8">
        <f t="shared" ref="AD111:AD121" si="32">+AC111/AB111</f>
        <v>0.91770734218438621</v>
      </c>
    </row>
    <row r="112" spans="1:30" x14ac:dyDescent="0.4">
      <c r="A112" s="1" t="s">
        <v>180</v>
      </c>
      <c r="B112" s="193" t="s">
        <v>181</v>
      </c>
      <c r="C112" s="256">
        <v>17269.580000000002</v>
      </c>
      <c r="D112">
        <v>1439.1316666666667</v>
      </c>
      <c r="E112" s="192" t="s">
        <v>19</v>
      </c>
      <c r="F112" s="131"/>
      <c r="G112" s="132">
        <v>4662.96</v>
      </c>
      <c r="H112" s="131"/>
      <c r="I112" s="131"/>
      <c r="J112" s="132">
        <v>10432.89</v>
      </c>
      <c r="K112" s="131"/>
      <c r="L112" s="132">
        <v>5228.87</v>
      </c>
      <c r="M112" s="131"/>
      <c r="N112" s="131"/>
      <c r="O112" s="132">
        <v>3066.77</v>
      </c>
      <c r="P112" s="131"/>
      <c r="Q112" s="132">
        <v>815</v>
      </c>
      <c r="R112" s="237">
        <v>24206.49</v>
      </c>
      <c r="S112" s="6"/>
      <c r="T112" s="131"/>
      <c r="U112" s="132">
        <v>6040.49</v>
      </c>
      <c r="V112" s="132">
        <v>8249.4500000000007</v>
      </c>
      <c r="W112" s="132">
        <v>-22.68</v>
      </c>
      <c r="X112" s="131"/>
      <c r="Y112" s="132">
        <v>4447.8100000000004</v>
      </c>
      <c r="Z112" s="245">
        <v>18715.07</v>
      </c>
      <c r="AA112" s="3"/>
      <c r="AB112" s="252">
        <f t="shared" si="30"/>
        <v>15095.849999999999</v>
      </c>
      <c r="AC112" s="224">
        <f t="shared" si="31"/>
        <v>3619.2200000000012</v>
      </c>
      <c r="AD112" s="8">
        <f t="shared" si="32"/>
        <v>0.23974933508215845</v>
      </c>
    </row>
    <row r="113" spans="1:30" x14ac:dyDescent="0.4">
      <c r="A113" s="1" t="s">
        <v>182</v>
      </c>
      <c r="B113" s="193" t="s">
        <v>183</v>
      </c>
      <c r="C113" s="256">
        <v>51844.87</v>
      </c>
      <c r="D113">
        <v>4320.4058333333332</v>
      </c>
      <c r="E113" s="192" t="s">
        <v>19</v>
      </c>
      <c r="F113" s="132">
        <v>823.1</v>
      </c>
      <c r="G113" s="132">
        <v>2877.77</v>
      </c>
      <c r="H113" s="132">
        <v>4023.97</v>
      </c>
      <c r="I113" s="132">
        <v>2051.2600000000002</v>
      </c>
      <c r="J113" s="132">
        <v>3815.5</v>
      </c>
      <c r="K113" s="131"/>
      <c r="L113" s="132">
        <v>1895.2</v>
      </c>
      <c r="M113" s="132">
        <v>1220.55</v>
      </c>
      <c r="N113" s="131"/>
      <c r="O113" s="132">
        <v>1155.5</v>
      </c>
      <c r="P113" s="132">
        <v>1615</v>
      </c>
      <c r="Q113" s="132">
        <v>2739.05</v>
      </c>
      <c r="R113" s="237">
        <v>22216.9</v>
      </c>
      <c r="S113" s="6"/>
      <c r="T113" s="132">
        <v>756.45</v>
      </c>
      <c r="U113" s="132">
        <v>507.45</v>
      </c>
      <c r="V113" s="131"/>
      <c r="W113" s="132">
        <v>642.9</v>
      </c>
      <c r="X113" s="132">
        <v>1819</v>
      </c>
      <c r="Y113" s="132">
        <v>1143.25</v>
      </c>
      <c r="Z113" s="245">
        <v>4869.05</v>
      </c>
      <c r="AA113" s="3"/>
      <c r="AB113" s="252">
        <f t="shared" si="30"/>
        <v>13591.6</v>
      </c>
      <c r="AC113" s="224">
        <f t="shared" si="31"/>
        <v>-8722.5499999999993</v>
      </c>
      <c r="AD113" s="8">
        <f t="shared" si="32"/>
        <v>-0.64176035198210657</v>
      </c>
    </row>
    <row r="114" spans="1:30" x14ac:dyDescent="0.4">
      <c r="A114" s="1" t="s">
        <v>184</v>
      </c>
      <c r="B114" s="193" t="s">
        <v>185</v>
      </c>
      <c r="C114" s="256">
        <v>90018.37</v>
      </c>
      <c r="D114">
        <v>7501.5308333333332</v>
      </c>
      <c r="E114" s="192" t="s">
        <v>19</v>
      </c>
      <c r="F114" s="132">
        <v>4596.8999999999996</v>
      </c>
      <c r="G114" s="132">
        <v>5166.75</v>
      </c>
      <c r="H114" s="132">
        <v>1256.0899999999999</v>
      </c>
      <c r="I114" s="132">
        <v>7524.28</v>
      </c>
      <c r="J114" s="132">
        <v>5998.87</v>
      </c>
      <c r="K114" s="132">
        <v>7251.76</v>
      </c>
      <c r="L114" s="132">
        <v>1137.3699999999999</v>
      </c>
      <c r="M114" s="132">
        <v>3863.86</v>
      </c>
      <c r="N114" s="132">
        <v>6339.63</v>
      </c>
      <c r="O114" s="132">
        <v>7004.77</v>
      </c>
      <c r="P114" s="132">
        <v>3238.13</v>
      </c>
      <c r="Q114" s="132">
        <v>2196</v>
      </c>
      <c r="R114" s="237">
        <v>55574.41</v>
      </c>
      <c r="S114" s="6"/>
      <c r="T114" s="132">
        <v>3625.66</v>
      </c>
      <c r="U114" s="132">
        <v>1798.92</v>
      </c>
      <c r="V114" s="132">
        <v>4979.1099999999997</v>
      </c>
      <c r="W114" s="132">
        <v>3736.22</v>
      </c>
      <c r="X114" s="132">
        <v>4824.32</v>
      </c>
      <c r="Y114" s="132">
        <v>4602.2299999999996</v>
      </c>
      <c r="Z114" s="245">
        <v>23566.46</v>
      </c>
      <c r="AA114" s="3"/>
      <c r="AB114" s="252">
        <f t="shared" si="30"/>
        <v>31794.65</v>
      </c>
      <c r="AC114" s="224">
        <f t="shared" si="31"/>
        <v>-8228.1900000000023</v>
      </c>
      <c r="AD114" s="8">
        <f t="shared" si="32"/>
        <v>-0.25879165205466964</v>
      </c>
    </row>
    <row r="115" spans="1:30" x14ac:dyDescent="0.4">
      <c r="A115" s="1" t="s">
        <v>186</v>
      </c>
      <c r="B115" s="193" t="s">
        <v>187</v>
      </c>
      <c r="C115" s="256">
        <v>23603.73</v>
      </c>
      <c r="D115">
        <v>1966.9775</v>
      </c>
      <c r="E115" s="192" t="s">
        <v>19</v>
      </c>
      <c r="F115" s="132">
        <v>2149.59</v>
      </c>
      <c r="G115" s="131"/>
      <c r="H115" s="132">
        <v>1025.98</v>
      </c>
      <c r="I115" s="132">
        <v>360.21</v>
      </c>
      <c r="J115" s="132">
        <v>309.7</v>
      </c>
      <c r="K115" s="132">
        <v>1588.32</v>
      </c>
      <c r="L115" s="132">
        <v>107.37</v>
      </c>
      <c r="M115" s="132">
        <v>196.75</v>
      </c>
      <c r="N115" s="132">
        <v>687.74</v>
      </c>
      <c r="O115" s="132">
        <v>1506.03</v>
      </c>
      <c r="P115" s="132">
        <v>1283.24</v>
      </c>
      <c r="Q115" s="132">
        <v>250.97</v>
      </c>
      <c r="R115" s="237">
        <v>9465.9</v>
      </c>
      <c r="S115" s="6"/>
      <c r="T115" s="132">
        <v>410.68</v>
      </c>
      <c r="U115" s="132">
        <v>2016.44</v>
      </c>
      <c r="V115" s="132">
        <v>433.49</v>
      </c>
      <c r="W115" s="132">
        <v>838</v>
      </c>
      <c r="X115" s="132">
        <v>298.99</v>
      </c>
      <c r="Y115" s="132">
        <v>350.46</v>
      </c>
      <c r="Z115" s="245">
        <v>4348.0600000000004</v>
      </c>
      <c r="AA115" s="3"/>
      <c r="AB115" s="252">
        <f t="shared" si="30"/>
        <v>5433.8</v>
      </c>
      <c r="AC115" s="224">
        <f t="shared" si="31"/>
        <v>-1085.7399999999998</v>
      </c>
      <c r="AD115" s="8">
        <f t="shared" si="32"/>
        <v>-0.19981228606131984</v>
      </c>
    </row>
    <row r="116" spans="1:30" x14ac:dyDescent="0.4">
      <c r="A116" s="1" t="s">
        <v>188</v>
      </c>
      <c r="B116" s="193" t="s">
        <v>189</v>
      </c>
      <c r="C116" s="256">
        <v>21716.639999999999</v>
      </c>
      <c r="D116">
        <v>1809.72</v>
      </c>
      <c r="E116" s="192" t="s">
        <v>19</v>
      </c>
      <c r="F116" s="132">
        <v>3.47</v>
      </c>
      <c r="G116" s="132">
        <v>1234.1199999999999</v>
      </c>
      <c r="H116" s="132">
        <v>1234.1199999999999</v>
      </c>
      <c r="I116" s="132">
        <v>3749.87</v>
      </c>
      <c r="J116" s="132">
        <v>2125.87</v>
      </c>
      <c r="K116" s="132">
        <v>1234.1099999999999</v>
      </c>
      <c r="L116" s="132">
        <v>1564.12</v>
      </c>
      <c r="M116" s="132">
        <v>197.2</v>
      </c>
      <c r="N116" s="132">
        <v>3504.9</v>
      </c>
      <c r="O116" s="132">
        <v>1027.2</v>
      </c>
      <c r="P116" s="132">
        <v>455.53</v>
      </c>
      <c r="Q116" s="132">
        <v>615.6</v>
      </c>
      <c r="R116" s="237">
        <v>16946.11</v>
      </c>
      <c r="S116" s="6"/>
      <c r="T116" s="132">
        <v>4487.05</v>
      </c>
      <c r="U116" s="132">
        <v>1462.82</v>
      </c>
      <c r="V116" s="132">
        <v>4227.8</v>
      </c>
      <c r="W116" s="132">
        <v>4514.8</v>
      </c>
      <c r="X116" s="132">
        <v>2621.4</v>
      </c>
      <c r="Y116" s="132">
        <v>4572.3999999999996</v>
      </c>
      <c r="Z116" s="245">
        <v>21886.27</v>
      </c>
      <c r="AA116" s="3"/>
      <c r="AB116" s="252">
        <f t="shared" si="30"/>
        <v>9581.5600000000013</v>
      </c>
      <c r="AC116" s="224">
        <f t="shared" si="31"/>
        <v>12304.71</v>
      </c>
      <c r="AD116" s="8">
        <f t="shared" si="32"/>
        <v>1.2842073733296038</v>
      </c>
    </row>
    <row r="117" spans="1:30" x14ac:dyDescent="0.4">
      <c r="A117" s="1" t="s">
        <v>190</v>
      </c>
      <c r="B117" s="193" t="s">
        <v>191</v>
      </c>
      <c r="C117" s="256">
        <v>13755.02</v>
      </c>
      <c r="D117">
        <v>1146.2516666666668</v>
      </c>
      <c r="E117" s="192" t="s">
        <v>19</v>
      </c>
      <c r="F117" s="131"/>
      <c r="G117" s="132">
        <v>5550.83</v>
      </c>
      <c r="H117" s="131"/>
      <c r="I117" s="132">
        <v>288.75</v>
      </c>
      <c r="J117" s="131"/>
      <c r="K117" s="132">
        <v>1760.84</v>
      </c>
      <c r="L117" s="132">
        <v>170.1</v>
      </c>
      <c r="M117" s="131"/>
      <c r="N117" s="131"/>
      <c r="O117" s="131"/>
      <c r="P117" s="131"/>
      <c r="Q117" s="131"/>
      <c r="R117" s="237">
        <v>7770.52</v>
      </c>
      <c r="S117" s="6"/>
      <c r="T117" s="131"/>
      <c r="U117" s="131"/>
      <c r="V117" s="131"/>
      <c r="W117" s="131"/>
      <c r="X117" s="132">
        <v>2271.4</v>
      </c>
      <c r="Y117" s="132">
        <v>5745</v>
      </c>
      <c r="Z117" s="245">
        <v>8016.4</v>
      </c>
      <c r="AA117" s="3"/>
      <c r="AB117" s="252">
        <f t="shared" si="30"/>
        <v>7600.42</v>
      </c>
      <c r="AC117" s="224">
        <f t="shared" si="31"/>
        <v>415.97999999999956</v>
      </c>
      <c r="AD117" s="8">
        <f t="shared" si="32"/>
        <v>5.4731185908147122E-2</v>
      </c>
    </row>
    <row r="118" spans="1:30" x14ac:dyDescent="0.4">
      <c r="A118" s="1" t="s">
        <v>192</v>
      </c>
      <c r="B118" s="193" t="s">
        <v>193</v>
      </c>
      <c r="C118" s="256">
        <v>617092.68999999994</v>
      </c>
      <c r="D118">
        <v>51424.390833333331</v>
      </c>
      <c r="E118" s="192" t="s">
        <v>19</v>
      </c>
      <c r="F118" s="132">
        <v>33660.949999999997</v>
      </c>
      <c r="G118" s="132">
        <v>49182.86</v>
      </c>
      <c r="H118" s="132">
        <v>26618.01</v>
      </c>
      <c r="I118" s="132">
        <v>40213.08</v>
      </c>
      <c r="J118" s="132">
        <v>41623.599999999999</v>
      </c>
      <c r="K118" s="132">
        <v>43274.92</v>
      </c>
      <c r="L118" s="132">
        <v>38756.6</v>
      </c>
      <c r="M118" s="132">
        <v>30041.77</v>
      </c>
      <c r="N118" s="132">
        <v>10950.28</v>
      </c>
      <c r="O118" s="132">
        <v>28719.86</v>
      </c>
      <c r="P118" s="132">
        <v>21564.26</v>
      </c>
      <c r="Q118" s="132">
        <v>41258.339999999997</v>
      </c>
      <c r="R118" s="237">
        <v>405864.53</v>
      </c>
      <c r="S118" s="6"/>
      <c r="T118" s="132">
        <v>16581.46</v>
      </c>
      <c r="U118" s="132">
        <v>23307.37</v>
      </c>
      <c r="V118" s="132">
        <v>18997.73</v>
      </c>
      <c r="W118" s="132">
        <v>38171.61</v>
      </c>
      <c r="X118" s="132">
        <v>18893.89</v>
      </c>
      <c r="Y118" s="132">
        <v>69436.05</v>
      </c>
      <c r="Z118" s="245">
        <v>185388.11</v>
      </c>
      <c r="AA118" s="3"/>
      <c r="AB118" s="252">
        <f t="shared" si="30"/>
        <v>234573.41999999998</v>
      </c>
      <c r="AC118" s="224">
        <f t="shared" si="31"/>
        <v>-49185.31</v>
      </c>
      <c r="AD118" s="8">
        <f t="shared" si="32"/>
        <v>-0.20967980941745235</v>
      </c>
    </row>
    <row r="119" spans="1:30" x14ac:dyDescent="0.4">
      <c r="A119" s="1" t="s">
        <v>194</v>
      </c>
      <c r="B119" s="193" t="s">
        <v>195</v>
      </c>
      <c r="C119" s="256">
        <v>47247.28</v>
      </c>
      <c r="D119">
        <v>3937.2733333333331</v>
      </c>
      <c r="E119" s="192" t="s">
        <v>19</v>
      </c>
      <c r="F119" s="132">
        <v>1981.17</v>
      </c>
      <c r="G119" s="132">
        <v>6064.78</v>
      </c>
      <c r="H119" s="132">
        <v>5037.3100000000004</v>
      </c>
      <c r="I119" s="132">
        <v>4565.8100000000004</v>
      </c>
      <c r="J119" s="132">
        <v>2080.3200000000002</v>
      </c>
      <c r="K119" s="132">
        <v>4100.8900000000003</v>
      </c>
      <c r="L119" s="132">
        <v>2560.58</v>
      </c>
      <c r="M119" s="132">
        <v>1152.99</v>
      </c>
      <c r="N119" s="132">
        <v>2509.9499999999998</v>
      </c>
      <c r="O119" s="132">
        <v>2001.17</v>
      </c>
      <c r="P119" s="132">
        <v>2804.88</v>
      </c>
      <c r="Q119" s="132">
        <v>1157.51</v>
      </c>
      <c r="R119" s="237">
        <v>36017.360000000001</v>
      </c>
      <c r="S119" s="6"/>
      <c r="T119" s="132">
        <v>2675.44</v>
      </c>
      <c r="U119" s="132">
        <v>1761.46</v>
      </c>
      <c r="V119" s="132">
        <v>569.15</v>
      </c>
      <c r="W119" s="132">
        <v>4014.53</v>
      </c>
      <c r="X119" s="132">
        <v>1035.54</v>
      </c>
      <c r="Y119" s="132">
        <v>5771.21</v>
      </c>
      <c r="Z119" s="245">
        <v>15827.33</v>
      </c>
      <c r="AA119" s="3"/>
      <c r="AB119" s="252">
        <f t="shared" si="30"/>
        <v>23830.28</v>
      </c>
      <c r="AC119" s="224">
        <f t="shared" si="31"/>
        <v>-8002.9499999999989</v>
      </c>
      <c r="AD119" s="8">
        <f t="shared" si="32"/>
        <v>-0.33583113584901225</v>
      </c>
    </row>
    <row r="120" spans="1:30" x14ac:dyDescent="0.4">
      <c r="A120" s="1" t="s">
        <v>196</v>
      </c>
      <c r="B120" s="193" t="s">
        <v>197</v>
      </c>
      <c r="C120" s="256">
        <v>1785.3</v>
      </c>
      <c r="D120">
        <v>148.77500000000001</v>
      </c>
      <c r="E120" s="192" t="s">
        <v>19</v>
      </c>
      <c r="F120" s="131"/>
      <c r="G120" s="132">
        <v>3379.5</v>
      </c>
      <c r="H120" s="131"/>
      <c r="I120" s="131"/>
      <c r="J120" s="131"/>
      <c r="K120" s="131"/>
      <c r="L120" s="131"/>
      <c r="M120" s="131"/>
      <c r="N120" s="132">
        <v>3000</v>
      </c>
      <c r="O120" s="132">
        <v>4000</v>
      </c>
      <c r="P120" s="132">
        <v>16483.18</v>
      </c>
      <c r="Q120" s="132">
        <v>22674.94</v>
      </c>
      <c r="R120" s="237">
        <v>49537.62</v>
      </c>
      <c r="S120" s="35"/>
      <c r="T120" s="131"/>
      <c r="U120" s="132">
        <v>6831.27</v>
      </c>
      <c r="V120" s="131"/>
      <c r="W120" s="131"/>
      <c r="X120" s="132">
        <v>12566.97</v>
      </c>
      <c r="Y120" s="132">
        <v>19385.77</v>
      </c>
      <c r="Z120" s="245">
        <v>38784.01</v>
      </c>
      <c r="AA120" s="6"/>
      <c r="AB120" s="252">
        <f t="shared" si="30"/>
        <v>3379.5</v>
      </c>
      <c r="AC120" s="224">
        <f t="shared" si="31"/>
        <v>35404.51</v>
      </c>
      <c r="AD120" s="8">
        <f t="shared" si="32"/>
        <v>10.476256842728215</v>
      </c>
    </row>
    <row r="121" spans="1:30" x14ac:dyDescent="0.4">
      <c r="A121" s="1" t="s">
        <v>198</v>
      </c>
      <c r="B121" s="193" t="s">
        <v>199</v>
      </c>
      <c r="C121" s="257">
        <v>110388.68</v>
      </c>
      <c r="D121">
        <v>9199.0566666666673</v>
      </c>
      <c r="E121" s="192" t="s">
        <v>19</v>
      </c>
      <c r="F121" s="133">
        <v>15365.88</v>
      </c>
      <c r="G121" s="133">
        <v>13839.03</v>
      </c>
      <c r="H121" s="133">
        <v>21417.279999999999</v>
      </c>
      <c r="I121" s="133">
        <v>14040.86</v>
      </c>
      <c r="J121" s="133">
        <v>27138.25</v>
      </c>
      <c r="K121" s="133">
        <v>3145.97</v>
      </c>
      <c r="L121" s="133">
        <v>1343.3</v>
      </c>
      <c r="M121" s="133">
        <v>30233.19</v>
      </c>
      <c r="N121" s="133">
        <v>19960.95</v>
      </c>
      <c r="O121" s="133">
        <v>32875.54</v>
      </c>
      <c r="P121" s="133">
        <v>6741.71</v>
      </c>
      <c r="Q121" s="133">
        <v>16470.09</v>
      </c>
      <c r="R121" s="238">
        <v>202572.05</v>
      </c>
      <c r="S121" s="35"/>
      <c r="T121" s="133">
        <v>15508.18</v>
      </c>
      <c r="U121" s="133">
        <v>29705.61</v>
      </c>
      <c r="V121" s="133">
        <v>9441.65</v>
      </c>
      <c r="W121" s="133">
        <v>2226.19</v>
      </c>
      <c r="X121" s="133">
        <v>16843.599999999999</v>
      </c>
      <c r="Y121" s="133">
        <v>19002.72</v>
      </c>
      <c r="Z121" s="246">
        <v>92727.95</v>
      </c>
      <c r="AA121" s="6"/>
      <c r="AB121" s="253">
        <f t="shared" si="30"/>
        <v>94947.27</v>
      </c>
      <c r="AC121" s="11">
        <f t="shared" si="31"/>
        <v>-2219.320000000007</v>
      </c>
      <c r="AD121" s="12">
        <f t="shared" si="32"/>
        <v>-2.3374237089702599E-2</v>
      </c>
    </row>
    <row r="122" spans="1:30" x14ac:dyDescent="0.4">
      <c r="A122" s="1"/>
      <c r="B122" s="193" t="s">
        <v>200</v>
      </c>
      <c r="C122" s="257">
        <v>1176444.03</v>
      </c>
      <c r="D122">
        <v>98037.002500000002</v>
      </c>
      <c r="E122" s="192" t="s">
        <v>19</v>
      </c>
      <c r="F122" s="133">
        <v>73756.66</v>
      </c>
      <c r="G122" s="133">
        <v>118203.33</v>
      </c>
      <c r="H122" s="133">
        <v>74967.05</v>
      </c>
      <c r="I122" s="133">
        <v>88076</v>
      </c>
      <c r="J122" s="133">
        <v>106179.38</v>
      </c>
      <c r="K122" s="133">
        <v>75549.320000000007</v>
      </c>
      <c r="L122" s="133">
        <v>60902.3</v>
      </c>
      <c r="M122" s="133">
        <v>71042.38</v>
      </c>
      <c r="N122" s="133">
        <v>60652.53</v>
      </c>
      <c r="O122" s="133">
        <v>99401.23</v>
      </c>
      <c r="P122" s="133">
        <v>61422.93</v>
      </c>
      <c r="Q122" s="133">
        <v>101311.67</v>
      </c>
      <c r="R122" s="238">
        <v>991464.78</v>
      </c>
      <c r="S122" s="6"/>
      <c r="T122" s="133">
        <v>58477.95</v>
      </c>
      <c r="U122" s="133">
        <v>89709.46</v>
      </c>
      <c r="V122" s="133">
        <v>66012.87</v>
      </c>
      <c r="W122" s="133">
        <v>70690.899999999994</v>
      </c>
      <c r="X122" s="133">
        <v>67030.09</v>
      </c>
      <c r="Y122" s="133">
        <v>143701.03</v>
      </c>
      <c r="Z122" s="246">
        <v>495622.3</v>
      </c>
      <c r="AA122" s="33"/>
      <c r="AB122" s="238">
        <f>SUM(AB110:AB121)</f>
        <v>536731.74</v>
      </c>
      <c r="AC122" s="229">
        <f>SUM(AC110:AC121)</f>
        <v>-41109.439999999995</v>
      </c>
      <c r="AD122" s="12">
        <f t="shared" si="26"/>
        <v>-7.6592153838340171E-2</v>
      </c>
    </row>
    <row r="123" spans="1:30" x14ac:dyDescent="0.4">
      <c r="A123" s="1"/>
      <c r="B123" s="193"/>
      <c r="C123" s="256"/>
      <c r="D123"/>
      <c r="E123" s="192" t="s">
        <v>19</v>
      </c>
      <c r="F123" s="131"/>
      <c r="G123" s="131"/>
      <c r="H123" s="131"/>
      <c r="I123" s="131"/>
      <c r="J123" s="131"/>
      <c r="K123" s="131"/>
      <c r="L123" s="131"/>
      <c r="M123" s="131"/>
      <c r="N123" s="131"/>
      <c r="O123" s="131"/>
      <c r="P123" s="131"/>
      <c r="Q123" s="131"/>
      <c r="R123" s="237"/>
      <c r="S123" s="6"/>
      <c r="T123" s="131"/>
      <c r="U123" s="131"/>
      <c r="V123" s="131"/>
      <c r="W123" s="131"/>
      <c r="X123" s="131"/>
      <c r="Y123" s="131"/>
      <c r="Z123" s="245"/>
      <c r="AA123" s="33"/>
      <c r="AB123" s="237"/>
      <c r="AC123" s="4"/>
      <c r="AD123" s="5"/>
    </row>
    <row r="124" spans="1:30" x14ac:dyDescent="0.4">
      <c r="A124" s="1"/>
      <c r="B124" s="193" t="s">
        <v>201</v>
      </c>
      <c r="C124" s="256"/>
      <c r="D124"/>
      <c r="E124" s="192" t="s">
        <v>19</v>
      </c>
      <c r="F124" s="131"/>
      <c r="G124" s="131"/>
      <c r="H124" s="131"/>
      <c r="I124" s="131"/>
      <c r="J124" s="131"/>
      <c r="K124" s="131"/>
      <c r="L124" s="131"/>
      <c r="M124" s="131"/>
      <c r="N124" s="131"/>
      <c r="O124" s="131"/>
      <c r="P124" s="131"/>
      <c r="Q124" s="131"/>
      <c r="R124" s="237"/>
      <c r="S124" s="6"/>
      <c r="T124" s="131"/>
      <c r="U124" s="131"/>
      <c r="V124" s="131"/>
      <c r="W124" s="131"/>
      <c r="X124" s="131"/>
      <c r="Y124" s="131"/>
      <c r="Z124" s="245"/>
      <c r="AA124" s="3"/>
      <c r="AB124" s="237"/>
      <c r="AC124" s="4"/>
      <c r="AD124" s="5"/>
    </row>
    <row r="125" spans="1:30" x14ac:dyDescent="0.4">
      <c r="A125" s="1" t="s">
        <v>202</v>
      </c>
      <c r="B125" s="193" t="s">
        <v>203</v>
      </c>
      <c r="C125" s="256">
        <v>205192.18</v>
      </c>
      <c r="D125">
        <v>17099.348333333332</v>
      </c>
      <c r="E125" s="192" t="s">
        <v>19</v>
      </c>
      <c r="F125" s="132">
        <v>6458.91</v>
      </c>
      <c r="G125" s="132">
        <v>7958.21</v>
      </c>
      <c r="H125" s="132">
        <v>10019.44</v>
      </c>
      <c r="I125" s="132">
        <v>13726.54</v>
      </c>
      <c r="J125" s="132">
        <v>10513.85</v>
      </c>
      <c r="K125" s="132">
        <v>8001.23</v>
      </c>
      <c r="L125" s="132">
        <v>623.44000000000005</v>
      </c>
      <c r="M125" s="132">
        <v>6939.45</v>
      </c>
      <c r="N125" s="132">
        <v>308.77</v>
      </c>
      <c r="O125" s="132">
        <v>1386.98</v>
      </c>
      <c r="P125" s="132">
        <v>757.85</v>
      </c>
      <c r="Q125" s="132">
        <v>2714.61</v>
      </c>
      <c r="R125" s="237">
        <v>69409.279999999999</v>
      </c>
      <c r="S125" s="35"/>
      <c r="T125" s="132">
        <v>2299.81</v>
      </c>
      <c r="U125" s="132">
        <v>1193.3</v>
      </c>
      <c r="V125" s="132">
        <v>625.64</v>
      </c>
      <c r="W125" s="132">
        <v>1185.8399999999999</v>
      </c>
      <c r="X125" s="132">
        <v>1814.38</v>
      </c>
      <c r="Y125" s="132">
        <v>2189.5500000000002</v>
      </c>
      <c r="Z125" s="245">
        <v>9308.52</v>
      </c>
      <c r="AA125" s="35"/>
      <c r="AB125" s="252">
        <f>SUM(F125:K125)</f>
        <v>56678.179999999993</v>
      </c>
      <c r="AC125" s="224">
        <f>+Z125-AB125</f>
        <v>-47369.659999999989</v>
      </c>
      <c r="AD125" s="8">
        <f t="shared" si="26"/>
        <v>-0.83576536861275352</v>
      </c>
    </row>
    <row r="126" spans="1:30" x14ac:dyDescent="0.4">
      <c r="A126" s="1" t="s">
        <v>204</v>
      </c>
      <c r="B126" s="193" t="s">
        <v>205</v>
      </c>
      <c r="C126" s="257">
        <v>74.319999999999993</v>
      </c>
      <c r="D126">
        <v>6.1933333333332996</v>
      </c>
      <c r="E126" s="192" t="s">
        <v>19</v>
      </c>
      <c r="F126" s="134"/>
      <c r="G126" s="134"/>
      <c r="H126" s="134"/>
      <c r="I126" s="134"/>
      <c r="J126" s="134"/>
      <c r="K126" s="134"/>
      <c r="L126" s="134"/>
      <c r="M126" s="134"/>
      <c r="N126" s="134"/>
      <c r="O126" s="134"/>
      <c r="P126" s="134"/>
      <c r="Q126" s="134"/>
      <c r="R126" s="238"/>
      <c r="S126" s="6"/>
      <c r="T126" s="134"/>
      <c r="U126" s="134"/>
      <c r="V126" s="134"/>
      <c r="W126" s="134"/>
      <c r="X126" s="134"/>
      <c r="Y126" s="134"/>
      <c r="Z126" s="246"/>
      <c r="AA126" s="6"/>
      <c r="AB126" s="253">
        <f>SUM(F126:K126)</f>
        <v>0</v>
      </c>
      <c r="AC126" s="11">
        <f>+Z126-AB126</f>
        <v>0</v>
      </c>
      <c r="AD126" s="12" t="e">
        <f t="shared" ref="AD126" si="33">+AC126/AB126</f>
        <v>#DIV/0!</v>
      </c>
    </row>
    <row r="127" spans="1:30" x14ac:dyDescent="0.4">
      <c r="A127" s="1"/>
      <c r="B127" s="193" t="s">
        <v>206</v>
      </c>
      <c r="C127" s="257">
        <v>205266.5</v>
      </c>
      <c r="D127">
        <v>17105.541666666668</v>
      </c>
      <c r="E127" s="192" t="s">
        <v>19</v>
      </c>
      <c r="F127" s="133">
        <v>6458.91</v>
      </c>
      <c r="G127" s="133">
        <v>7958.21</v>
      </c>
      <c r="H127" s="133">
        <v>10019.44</v>
      </c>
      <c r="I127" s="133">
        <v>13726.54</v>
      </c>
      <c r="J127" s="133">
        <v>10513.85</v>
      </c>
      <c r="K127" s="133">
        <v>8001.23</v>
      </c>
      <c r="L127" s="133">
        <v>623.44000000000005</v>
      </c>
      <c r="M127" s="133">
        <v>6939.45</v>
      </c>
      <c r="N127" s="133">
        <v>308.77</v>
      </c>
      <c r="O127" s="133">
        <v>1386.98</v>
      </c>
      <c r="P127" s="133">
        <v>757.85</v>
      </c>
      <c r="Q127" s="133">
        <v>2714.61</v>
      </c>
      <c r="R127" s="238">
        <v>69409.279999999999</v>
      </c>
      <c r="S127" s="35"/>
      <c r="T127" s="133">
        <v>2299.81</v>
      </c>
      <c r="U127" s="133">
        <v>1193.3</v>
      </c>
      <c r="V127" s="133">
        <v>625.64</v>
      </c>
      <c r="W127" s="133">
        <v>1185.8399999999999</v>
      </c>
      <c r="X127" s="133">
        <v>1814.38</v>
      </c>
      <c r="Y127" s="133">
        <v>2189.5500000000002</v>
      </c>
      <c r="Z127" s="246">
        <v>9308.52</v>
      </c>
      <c r="AA127" s="33"/>
      <c r="AB127" s="238">
        <f>SUM(AB125:AB126)</f>
        <v>56678.179999999993</v>
      </c>
      <c r="AC127" s="229">
        <f>SUM(AC125:AC126)</f>
        <v>-47369.659999999989</v>
      </c>
      <c r="AD127" s="12">
        <f t="shared" si="26"/>
        <v>-0.83576536861275352</v>
      </c>
    </row>
    <row r="128" spans="1:30" x14ac:dyDescent="0.4">
      <c r="A128" s="1"/>
      <c r="B128" s="193"/>
      <c r="C128" s="256"/>
      <c r="D128"/>
      <c r="E128" s="192" t="s">
        <v>19</v>
      </c>
      <c r="F128" s="131"/>
      <c r="G128" s="131"/>
      <c r="H128" s="131"/>
      <c r="I128" s="131"/>
      <c r="J128" s="131"/>
      <c r="K128" s="131"/>
      <c r="L128" s="131"/>
      <c r="M128" s="131"/>
      <c r="N128" s="131"/>
      <c r="O128" s="131"/>
      <c r="P128" s="131"/>
      <c r="Q128" s="131"/>
      <c r="R128" s="237"/>
      <c r="S128" s="35"/>
      <c r="T128" s="131"/>
      <c r="U128" s="131"/>
      <c r="V128" s="131"/>
      <c r="W128" s="131"/>
      <c r="X128" s="131"/>
      <c r="Y128" s="131"/>
      <c r="Z128" s="245"/>
      <c r="AA128" s="6"/>
      <c r="AB128" s="237"/>
      <c r="AC128" s="4"/>
      <c r="AD128" s="5"/>
    </row>
    <row r="129" spans="1:30" x14ac:dyDescent="0.4">
      <c r="A129" s="1"/>
      <c r="B129" s="193" t="s">
        <v>207</v>
      </c>
      <c r="C129" s="257">
        <v>10340772.1</v>
      </c>
      <c r="D129">
        <v>861731.0083333333</v>
      </c>
      <c r="E129" s="192" t="s">
        <v>19</v>
      </c>
      <c r="F129" s="133">
        <v>1035142.03</v>
      </c>
      <c r="G129" s="133">
        <v>974903.09</v>
      </c>
      <c r="H129" s="133">
        <v>959162.28</v>
      </c>
      <c r="I129" s="133">
        <v>1005436.63</v>
      </c>
      <c r="J129" s="133">
        <v>1078519.3600000001</v>
      </c>
      <c r="K129" s="133">
        <v>993111.9</v>
      </c>
      <c r="L129" s="133">
        <v>886683.34</v>
      </c>
      <c r="M129" s="133">
        <v>916414.34</v>
      </c>
      <c r="N129" s="133">
        <v>922246.8</v>
      </c>
      <c r="O129" s="133">
        <v>913426.38</v>
      </c>
      <c r="P129" s="133">
        <v>858685.57</v>
      </c>
      <c r="Q129" s="133">
        <v>944696.76</v>
      </c>
      <c r="R129" s="238">
        <v>11488428.48</v>
      </c>
      <c r="S129" s="6"/>
      <c r="T129" s="133">
        <v>885303.13</v>
      </c>
      <c r="U129" s="133">
        <v>927228.99</v>
      </c>
      <c r="V129" s="133">
        <v>975141.62</v>
      </c>
      <c r="W129" s="133">
        <v>930194.32</v>
      </c>
      <c r="X129" s="133">
        <v>907175.92</v>
      </c>
      <c r="Y129" s="133">
        <v>989176.55</v>
      </c>
      <c r="Z129" s="246">
        <v>5614220.5300000003</v>
      </c>
      <c r="AA129" s="33"/>
      <c r="AB129" s="238">
        <f>SUM(F129:K129)</f>
        <v>6046275.290000001</v>
      </c>
      <c r="AC129" s="11">
        <f>+Z129-AB129</f>
        <v>-432054.76000000071</v>
      </c>
      <c r="AD129" s="12">
        <f t="shared" si="26"/>
        <v>-7.1458003361934364E-2</v>
      </c>
    </row>
    <row r="130" spans="1:30" x14ac:dyDescent="0.4">
      <c r="A130" s="1"/>
      <c r="B130" s="193"/>
      <c r="C130" s="256"/>
      <c r="D130"/>
      <c r="E130" s="192" t="s">
        <v>19</v>
      </c>
      <c r="F130" s="131"/>
      <c r="G130" s="131"/>
      <c r="H130" s="131"/>
      <c r="I130" s="131"/>
      <c r="J130" s="131"/>
      <c r="K130" s="131"/>
      <c r="L130" s="131"/>
      <c r="M130" s="131"/>
      <c r="N130" s="131"/>
      <c r="O130" s="131"/>
      <c r="P130" s="131"/>
      <c r="Q130" s="131"/>
      <c r="R130" s="237"/>
      <c r="S130" s="6"/>
      <c r="T130" s="131"/>
      <c r="U130" s="131"/>
      <c r="V130" s="131"/>
      <c r="W130" s="131"/>
      <c r="X130" s="131"/>
      <c r="Y130" s="131"/>
      <c r="Z130" s="245"/>
      <c r="AA130" s="33"/>
      <c r="AB130" s="237"/>
      <c r="AC130" s="4"/>
      <c r="AD130" s="5"/>
    </row>
    <row r="131" spans="1:30" x14ac:dyDescent="0.4">
      <c r="A131" s="1"/>
      <c r="B131" s="193" t="s">
        <v>70</v>
      </c>
      <c r="C131" s="256"/>
      <c r="D131"/>
      <c r="E131" s="192" t="s">
        <v>19</v>
      </c>
      <c r="F131" s="131"/>
      <c r="G131" s="131"/>
      <c r="H131" s="131"/>
      <c r="I131" s="131"/>
      <c r="J131" s="131"/>
      <c r="K131" s="131"/>
      <c r="L131" s="131"/>
      <c r="M131" s="131"/>
      <c r="N131" s="131"/>
      <c r="O131" s="131"/>
      <c r="P131" s="131"/>
      <c r="Q131" s="131"/>
      <c r="R131" s="237"/>
      <c r="S131" s="6"/>
      <c r="T131" s="131"/>
      <c r="U131" s="131"/>
      <c r="V131" s="131"/>
      <c r="W131" s="131"/>
      <c r="X131" s="131"/>
      <c r="Y131" s="131"/>
      <c r="Z131" s="245"/>
      <c r="AA131" s="3"/>
      <c r="AB131" s="237"/>
      <c r="AC131" s="4"/>
      <c r="AD131" s="5"/>
    </row>
    <row r="132" spans="1:30" x14ac:dyDescent="0.4">
      <c r="A132" s="1" t="s">
        <v>208</v>
      </c>
      <c r="B132" s="193" t="s">
        <v>209</v>
      </c>
      <c r="C132" s="256">
        <v>-415992</v>
      </c>
      <c r="D132">
        <v>-34666</v>
      </c>
      <c r="E132" s="192" t="s">
        <v>19</v>
      </c>
      <c r="F132" s="132">
        <v>-34666</v>
      </c>
      <c r="G132" s="132">
        <v>-34666</v>
      </c>
      <c r="H132" s="132">
        <v>-34666</v>
      </c>
      <c r="I132" s="132">
        <v>-34666</v>
      </c>
      <c r="J132" s="132">
        <v>-34666</v>
      </c>
      <c r="K132" s="132">
        <v>-34666</v>
      </c>
      <c r="L132" s="132">
        <v>-34666</v>
      </c>
      <c r="M132" s="132">
        <v>-34666</v>
      </c>
      <c r="N132" s="132">
        <v>-34666</v>
      </c>
      <c r="O132" s="132">
        <v>-34666</v>
      </c>
      <c r="P132" s="132">
        <v>-34666</v>
      </c>
      <c r="Q132" s="132">
        <v>-34666</v>
      </c>
      <c r="R132" s="237">
        <v>-415992</v>
      </c>
      <c r="S132" s="6"/>
      <c r="T132" s="132">
        <v>-34666</v>
      </c>
      <c r="U132" s="132">
        <v>-34666</v>
      </c>
      <c r="V132" s="132">
        <v>-34666</v>
      </c>
      <c r="W132" s="132">
        <v>-34666</v>
      </c>
      <c r="X132" s="132">
        <v>-34666</v>
      </c>
      <c r="Y132" s="132">
        <v>-34666</v>
      </c>
      <c r="Z132" s="247">
        <f>SUM(T132:Y132)</f>
        <v>-207996</v>
      </c>
      <c r="AA132" s="3"/>
      <c r="AB132" s="252">
        <f t="shared" ref="AB132:AB144" si="34">SUM(F132:K132)</f>
        <v>-207996</v>
      </c>
      <c r="AC132" s="224">
        <f>+Z132-AB132</f>
        <v>0</v>
      </c>
      <c r="AD132" s="8">
        <f t="shared" si="26"/>
        <v>0</v>
      </c>
    </row>
    <row r="133" spans="1:30" x14ac:dyDescent="0.4">
      <c r="A133" s="1" t="s">
        <v>210</v>
      </c>
      <c r="B133" s="193" t="s">
        <v>211</v>
      </c>
      <c r="C133" s="256">
        <v>-55464</v>
      </c>
      <c r="D133">
        <v>-4622</v>
      </c>
      <c r="E133" s="192" t="s">
        <v>19</v>
      </c>
      <c r="F133" s="132">
        <v>-4622</v>
      </c>
      <c r="G133" s="132">
        <v>-4622</v>
      </c>
      <c r="H133" s="132">
        <v>-4622</v>
      </c>
      <c r="I133" s="132">
        <v>-4622</v>
      </c>
      <c r="J133" s="132">
        <v>-4622</v>
      </c>
      <c r="K133" s="132">
        <v>-4622</v>
      </c>
      <c r="L133" s="132">
        <v>-4622</v>
      </c>
      <c r="M133" s="132">
        <v>-4622</v>
      </c>
      <c r="N133" s="132">
        <v>-4622</v>
      </c>
      <c r="O133" s="132">
        <v>-4622</v>
      </c>
      <c r="P133" s="132">
        <v>-4622</v>
      </c>
      <c r="Q133" s="132">
        <v>-4622</v>
      </c>
      <c r="R133" s="237">
        <v>-55464</v>
      </c>
      <c r="S133" s="6"/>
      <c r="T133" s="132">
        <v>-4622</v>
      </c>
      <c r="U133" s="132">
        <v>-4622</v>
      </c>
      <c r="V133" s="132">
        <v>-4622</v>
      </c>
      <c r="W133" s="132">
        <v>-4622</v>
      </c>
      <c r="X133" s="132">
        <v>-4622</v>
      </c>
      <c r="Y133" s="132">
        <v>-4622</v>
      </c>
      <c r="Z133" s="247">
        <f t="shared" ref="Z133:Z144" si="35">SUM(T133:Y133)</f>
        <v>-27732</v>
      </c>
      <c r="AA133" s="3"/>
      <c r="AB133" s="252">
        <f t="shared" si="34"/>
        <v>-27732</v>
      </c>
      <c r="AC133" s="224">
        <f t="shared" ref="AC133:AC144" si="36">+Z133-AB133</f>
        <v>0</v>
      </c>
      <c r="AD133" s="8">
        <f t="shared" ref="AD133:AD144" si="37">+AC133/AB133</f>
        <v>0</v>
      </c>
    </row>
    <row r="134" spans="1:30" x14ac:dyDescent="0.4">
      <c r="A134" s="1" t="s">
        <v>212</v>
      </c>
      <c r="B134" s="193" t="s">
        <v>213</v>
      </c>
      <c r="C134" s="256">
        <v>-441948</v>
      </c>
      <c r="D134">
        <v>-36829</v>
      </c>
      <c r="E134" s="192" t="s">
        <v>19</v>
      </c>
      <c r="F134" s="132">
        <v>-36829</v>
      </c>
      <c r="G134" s="132">
        <v>-36829</v>
      </c>
      <c r="H134" s="132">
        <v>-36829</v>
      </c>
      <c r="I134" s="132">
        <v>-36829</v>
      </c>
      <c r="J134" s="132">
        <v>-36829</v>
      </c>
      <c r="K134" s="132">
        <v>-36829</v>
      </c>
      <c r="L134" s="132">
        <v>-36829</v>
      </c>
      <c r="M134" s="132">
        <v>-36829</v>
      </c>
      <c r="N134" s="132">
        <v>-36829</v>
      </c>
      <c r="O134" s="132">
        <v>-36829</v>
      </c>
      <c r="P134" s="132">
        <v>-36829</v>
      </c>
      <c r="Q134" s="132">
        <v>-36829</v>
      </c>
      <c r="R134" s="237">
        <v>-441948</v>
      </c>
      <c r="S134" s="6"/>
      <c r="T134" s="132">
        <v>-36829</v>
      </c>
      <c r="U134" s="132">
        <v>-36829</v>
      </c>
      <c r="V134" s="132">
        <v>-36829</v>
      </c>
      <c r="W134" s="132">
        <v>-36829</v>
      </c>
      <c r="X134" s="132">
        <v>-36829</v>
      </c>
      <c r="Y134" s="132">
        <v>-36829</v>
      </c>
      <c r="Z134" s="247">
        <f t="shared" si="35"/>
        <v>-220974</v>
      </c>
      <c r="AA134" s="3"/>
      <c r="AB134" s="252">
        <f t="shared" si="34"/>
        <v>-220974</v>
      </c>
      <c r="AC134" s="224">
        <f t="shared" si="36"/>
        <v>0</v>
      </c>
      <c r="AD134" s="8">
        <f t="shared" si="37"/>
        <v>0</v>
      </c>
    </row>
    <row r="135" spans="1:30" x14ac:dyDescent="0.4">
      <c r="A135" s="1" t="s">
        <v>214</v>
      </c>
      <c r="B135" s="193" t="s">
        <v>215</v>
      </c>
      <c r="C135" s="256">
        <v>-58920</v>
      </c>
      <c r="D135">
        <v>-4910</v>
      </c>
      <c r="E135" s="192" t="s">
        <v>19</v>
      </c>
      <c r="F135" s="132">
        <v>-4910</v>
      </c>
      <c r="G135" s="132">
        <v>-4910</v>
      </c>
      <c r="H135" s="132">
        <v>-4910</v>
      </c>
      <c r="I135" s="132">
        <v>-4910</v>
      </c>
      <c r="J135" s="132">
        <v>-4910</v>
      </c>
      <c r="K135" s="132">
        <v>-4910</v>
      </c>
      <c r="L135" s="132">
        <v>-4910</v>
      </c>
      <c r="M135" s="132">
        <v>-4910</v>
      </c>
      <c r="N135" s="132">
        <v>-4910</v>
      </c>
      <c r="O135" s="132">
        <v>-4910</v>
      </c>
      <c r="P135" s="132">
        <v>-4910</v>
      </c>
      <c r="Q135" s="132">
        <v>-4910</v>
      </c>
      <c r="R135" s="237">
        <v>-58920</v>
      </c>
      <c r="S135" s="6"/>
      <c r="T135" s="132">
        <v>-4910</v>
      </c>
      <c r="U135" s="132">
        <v>-4910</v>
      </c>
      <c r="V135" s="132">
        <v>-4910</v>
      </c>
      <c r="W135" s="132">
        <v>-4910</v>
      </c>
      <c r="X135" s="132">
        <v>-4910</v>
      </c>
      <c r="Y135" s="132">
        <v>-4910</v>
      </c>
      <c r="Z135" s="247">
        <f t="shared" si="35"/>
        <v>-29460</v>
      </c>
      <c r="AA135" s="3"/>
      <c r="AB135" s="252">
        <f t="shared" si="34"/>
        <v>-29460</v>
      </c>
      <c r="AC135" s="224">
        <f t="shared" si="36"/>
        <v>0</v>
      </c>
      <c r="AD135" s="8">
        <f t="shared" si="37"/>
        <v>0</v>
      </c>
    </row>
    <row r="136" spans="1:30" x14ac:dyDescent="0.4">
      <c r="A136" s="1" t="s">
        <v>216</v>
      </c>
      <c r="B136" s="193" t="s">
        <v>217</v>
      </c>
      <c r="C136" s="256">
        <v>-141408</v>
      </c>
      <c r="D136">
        <v>-11784</v>
      </c>
      <c r="E136" s="192" t="s">
        <v>19</v>
      </c>
      <c r="F136" s="132">
        <v>-11884</v>
      </c>
      <c r="G136" s="132">
        <v>-11884</v>
      </c>
      <c r="H136" s="132">
        <v>-11884</v>
      </c>
      <c r="I136" s="132">
        <v>-11884</v>
      </c>
      <c r="J136" s="132">
        <v>-11884</v>
      </c>
      <c r="K136" s="132">
        <v>-11884</v>
      </c>
      <c r="L136" s="132">
        <v>-11884</v>
      </c>
      <c r="M136" s="132">
        <v>-11884</v>
      </c>
      <c r="N136" s="132">
        <v>-11884</v>
      </c>
      <c r="O136" s="132">
        <v>-11884</v>
      </c>
      <c r="P136" s="132">
        <v>-11884</v>
      </c>
      <c r="Q136" s="132">
        <v>-11884</v>
      </c>
      <c r="R136" s="237">
        <v>-142608</v>
      </c>
      <c r="S136" s="6"/>
      <c r="T136" s="132">
        <v>-11884</v>
      </c>
      <c r="U136" s="132">
        <v>-11884</v>
      </c>
      <c r="V136" s="132">
        <v>-11884</v>
      </c>
      <c r="W136" s="132">
        <v>-11884</v>
      </c>
      <c r="X136" s="132">
        <v>-11884</v>
      </c>
      <c r="Y136" s="132">
        <v>-11884</v>
      </c>
      <c r="Z136" s="247">
        <f t="shared" si="35"/>
        <v>-71304</v>
      </c>
      <c r="AA136" s="3"/>
      <c r="AB136" s="252">
        <f t="shared" si="34"/>
        <v>-71304</v>
      </c>
      <c r="AC136" s="224">
        <f t="shared" si="36"/>
        <v>0</v>
      </c>
      <c r="AD136" s="8">
        <f t="shared" si="37"/>
        <v>0</v>
      </c>
    </row>
    <row r="137" spans="1:30" x14ac:dyDescent="0.4">
      <c r="A137" s="1" t="s">
        <v>218</v>
      </c>
      <c r="B137" s="193" t="s">
        <v>219</v>
      </c>
      <c r="C137" s="256">
        <v>-19020</v>
      </c>
      <c r="D137">
        <v>-1585</v>
      </c>
      <c r="E137" s="192" t="s">
        <v>19</v>
      </c>
      <c r="F137" s="132">
        <v>-1585</v>
      </c>
      <c r="G137" s="132">
        <v>-1585</v>
      </c>
      <c r="H137" s="132">
        <v>-1585</v>
      </c>
      <c r="I137" s="132">
        <v>-1585</v>
      </c>
      <c r="J137" s="132">
        <v>-1585</v>
      </c>
      <c r="K137" s="132">
        <v>-1585</v>
      </c>
      <c r="L137" s="132">
        <v>-1585</v>
      </c>
      <c r="M137" s="132">
        <v>-1585</v>
      </c>
      <c r="N137" s="132">
        <v>-1585</v>
      </c>
      <c r="O137" s="132">
        <v>-1585</v>
      </c>
      <c r="P137" s="132">
        <v>-1585</v>
      </c>
      <c r="Q137" s="132">
        <v>-1585</v>
      </c>
      <c r="R137" s="237">
        <v>-19020</v>
      </c>
      <c r="S137" s="6"/>
      <c r="T137" s="132">
        <v>-1585</v>
      </c>
      <c r="U137" s="132">
        <v>-1585</v>
      </c>
      <c r="V137" s="132">
        <v>-1585</v>
      </c>
      <c r="W137" s="132">
        <v>-1585</v>
      </c>
      <c r="X137" s="132">
        <v>-1585</v>
      </c>
      <c r="Y137" s="132">
        <v>-1585</v>
      </c>
      <c r="Z137" s="247">
        <f t="shared" si="35"/>
        <v>-9510</v>
      </c>
      <c r="AA137" s="3"/>
      <c r="AB137" s="252">
        <f t="shared" si="34"/>
        <v>-9510</v>
      </c>
      <c r="AC137" s="224">
        <f t="shared" si="36"/>
        <v>0</v>
      </c>
      <c r="AD137" s="8">
        <f t="shared" si="37"/>
        <v>0</v>
      </c>
    </row>
    <row r="138" spans="1:30" x14ac:dyDescent="0.4">
      <c r="A138" s="1"/>
      <c r="B138" s="193" t="s">
        <v>243</v>
      </c>
      <c r="C138" s="256">
        <v>0</v>
      </c>
      <c r="D138">
        <v>0</v>
      </c>
      <c r="E138" s="192"/>
      <c r="F138" s="132">
        <v>0</v>
      </c>
      <c r="G138" s="132">
        <v>0</v>
      </c>
      <c r="H138" s="132">
        <v>0</v>
      </c>
      <c r="I138" s="132">
        <v>0</v>
      </c>
      <c r="J138" s="132">
        <v>0</v>
      </c>
      <c r="K138" s="132">
        <v>0</v>
      </c>
      <c r="L138" s="132">
        <v>0</v>
      </c>
      <c r="M138" s="132">
        <v>0</v>
      </c>
      <c r="N138" s="132">
        <v>0</v>
      </c>
      <c r="O138" s="132">
        <v>0</v>
      </c>
      <c r="P138" s="132">
        <v>0</v>
      </c>
      <c r="Q138" s="132">
        <v>0</v>
      </c>
      <c r="R138" s="237">
        <v>0</v>
      </c>
      <c r="S138" s="6"/>
      <c r="T138" s="132">
        <v>-3937.37</v>
      </c>
      <c r="U138" s="132"/>
      <c r="V138" s="132">
        <v>-6047</v>
      </c>
      <c r="W138" s="132">
        <v>-3916.67</v>
      </c>
      <c r="X138" s="132">
        <v>-3916.67</v>
      </c>
      <c r="Y138" s="132"/>
      <c r="Z138" s="247">
        <f t="shared" si="35"/>
        <v>-17817.71</v>
      </c>
      <c r="AA138" s="3"/>
      <c r="AB138" s="252">
        <f t="shared" si="34"/>
        <v>0</v>
      </c>
      <c r="AC138" s="224">
        <f t="shared" si="36"/>
        <v>-17817.71</v>
      </c>
      <c r="AD138" s="8" t="e">
        <f t="shared" si="37"/>
        <v>#DIV/0!</v>
      </c>
    </row>
    <row r="139" spans="1:30" x14ac:dyDescent="0.4">
      <c r="A139" s="1" t="s">
        <v>220</v>
      </c>
      <c r="B139" s="193" t="s">
        <v>221</v>
      </c>
      <c r="C139" s="256">
        <v>-202680</v>
      </c>
      <c r="D139">
        <v>-16890</v>
      </c>
      <c r="E139" s="192" t="s">
        <v>19</v>
      </c>
      <c r="F139" s="132">
        <v>-16890</v>
      </c>
      <c r="G139" s="132">
        <v>-16890</v>
      </c>
      <c r="H139" s="132">
        <v>-16890</v>
      </c>
      <c r="I139" s="132">
        <v>-16890</v>
      </c>
      <c r="J139" s="132">
        <v>-16890</v>
      </c>
      <c r="K139" s="132">
        <v>-16890</v>
      </c>
      <c r="L139" s="132">
        <v>-16890</v>
      </c>
      <c r="M139" s="132">
        <v>-16890</v>
      </c>
      <c r="N139" s="132">
        <v>-16890</v>
      </c>
      <c r="O139" s="132">
        <v>-16890</v>
      </c>
      <c r="P139" s="132">
        <v>-16890</v>
      </c>
      <c r="Q139" s="132">
        <v>-16890</v>
      </c>
      <c r="R139" s="237">
        <v>-202680</v>
      </c>
      <c r="S139" s="6"/>
      <c r="T139" s="132">
        <v>-16890</v>
      </c>
      <c r="U139" s="132">
        <v>-16890</v>
      </c>
      <c r="V139" s="132">
        <v>-16890</v>
      </c>
      <c r="W139" s="132">
        <v>-16890</v>
      </c>
      <c r="X139" s="132">
        <v>-16890</v>
      </c>
      <c r="Y139" s="132">
        <v>-16890</v>
      </c>
      <c r="Z139" s="247">
        <f t="shared" si="35"/>
        <v>-101340</v>
      </c>
      <c r="AA139" s="3"/>
      <c r="AB139" s="252">
        <f t="shared" si="34"/>
        <v>-101340</v>
      </c>
      <c r="AC139" s="224">
        <f t="shared" si="36"/>
        <v>0</v>
      </c>
      <c r="AD139" s="8">
        <f t="shared" si="37"/>
        <v>0</v>
      </c>
    </row>
    <row r="140" spans="1:30" x14ac:dyDescent="0.4">
      <c r="A140" s="1" t="s">
        <v>222</v>
      </c>
      <c r="B140" s="193" t="s">
        <v>223</v>
      </c>
      <c r="C140" s="256">
        <v>-50664</v>
      </c>
      <c r="D140">
        <v>-4222</v>
      </c>
      <c r="E140" s="192" t="s">
        <v>19</v>
      </c>
      <c r="F140" s="132">
        <v>-4222</v>
      </c>
      <c r="G140" s="132">
        <v>-4222</v>
      </c>
      <c r="H140" s="132">
        <v>-4222</v>
      </c>
      <c r="I140" s="132">
        <v>-4222</v>
      </c>
      <c r="J140" s="132">
        <v>-4222</v>
      </c>
      <c r="K140" s="132">
        <v>-4222</v>
      </c>
      <c r="L140" s="132">
        <v>-4222</v>
      </c>
      <c r="M140" s="132">
        <v>-4222</v>
      </c>
      <c r="N140" s="132">
        <v>-4222</v>
      </c>
      <c r="O140" s="132">
        <v>-4222</v>
      </c>
      <c r="P140" s="132">
        <v>-4222</v>
      </c>
      <c r="Q140" s="132">
        <v>-4222</v>
      </c>
      <c r="R140" s="237">
        <v>-50664</v>
      </c>
      <c r="S140" s="6"/>
      <c r="T140" s="132">
        <v>-4222</v>
      </c>
      <c r="U140" s="132">
        <v>-4222</v>
      </c>
      <c r="V140" s="132">
        <v>-4222</v>
      </c>
      <c r="W140" s="132">
        <v>-4222</v>
      </c>
      <c r="X140" s="132">
        <v>-4222</v>
      </c>
      <c r="Y140" s="132">
        <v>-4222</v>
      </c>
      <c r="Z140" s="247">
        <f t="shared" si="35"/>
        <v>-25332</v>
      </c>
      <c r="AA140" s="3"/>
      <c r="AB140" s="252">
        <f t="shared" si="34"/>
        <v>-25332</v>
      </c>
      <c r="AC140" s="224">
        <f t="shared" si="36"/>
        <v>0</v>
      </c>
      <c r="AD140" s="8">
        <f t="shared" si="37"/>
        <v>0</v>
      </c>
    </row>
    <row r="141" spans="1:30" x14ac:dyDescent="0.4">
      <c r="A141" s="1" t="s">
        <v>224</v>
      </c>
      <c r="B141" s="193" t="s">
        <v>225</v>
      </c>
      <c r="C141" s="256">
        <v>-183684</v>
      </c>
      <c r="D141">
        <v>-15307</v>
      </c>
      <c r="E141" s="192" t="s">
        <v>19</v>
      </c>
      <c r="F141" s="132">
        <v>-15307</v>
      </c>
      <c r="G141" s="132">
        <v>-15307</v>
      </c>
      <c r="H141" s="132">
        <v>-15307</v>
      </c>
      <c r="I141" s="132">
        <v>-15307</v>
      </c>
      <c r="J141" s="132">
        <v>-15307</v>
      </c>
      <c r="K141" s="132">
        <v>-15307</v>
      </c>
      <c r="L141" s="132">
        <v>-15307</v>
      </c>
      <c r="M141" s="132">
        <v>-15307</v>
      </c>
      <c r="N141" s="132">
        <v>-15307</v>
      </c>
      <c r="O141" s="132">
        <v>-15307</v>
      </c>
      <c r="P141" s="132">
        <v>-15307</v>
      </c>
      <c r="Q141" s="132">
        <v>-15307</v>
      </c>
      <c r="R141" s="237">
        <v>-183684</v>
      </c>
      <c r="S141" s="6"/>
      <c r="T141" s="132">
        <v>-15307</v>
      </c>
      <c r="U141" s="132">
        <v>-15307</v>
      </c>
      <c r="V141" s="132">
        <v>-15307</v>
      </c>
      <c r="W141" s="132">
        <v>-15307</v>
      </c>
      <c r="X141" s="132">
        <v>-15307</v>
      </c>
      <c r="Y141" s="132">
        <v>-15307</v>
      </c>
      <c r="Z141" s="247">
        <f t="shared" si="35"/>
        <v>-91842</v>
      </c>
      <c r="AA141" s="3"/>
      <c r="AB141" s="252">
        <f t="shared" si="34"/>
        <v>-91842</v>
      </c>
      <c r="AC141" s="224">
        <f t="shared" si="36"/>
        <v>0</v>
      </c>
      <c r="AD141" s="8">
        <f t="shared" si="37"/>
        <v>0</v>
      </c>
    </row>
    <row r="142" spans="1:30" x14ac:dyDescent="0.4">
      <c r="A142" s="1" t="s">
        <v>226</v>
      </c>
      <c r="B142" s="193" t="s">
        <v>227</v>
      </c>
      <c r="C142" s="256">
        <v>-24492</v>
      </c>
      <c r="D142">
        <v>-2041</v>
      </c>
      <c r="E142" s="192" t="s">
        <v>19</v>
      </c>
      <c r="F142" s="132">
        <v>-2041</v>
      </c>
      <c r="G142" s="132">
        <v>-2041</v>
      </c>
      <c r="H142" s="132">
        <v>-2041</v>
      </c>
      <c r="I142" s="132">
        <v>-2041</v>
      </c>
      <c r="J142" s="132">
        <v>-2041</v>
      </c>
      <c r="K142" s="132">
        <v>-2041</v>
      </c>
      <c r="L142" s="132">
        <v>-2041</v>
      </c>
      <c r="M142" s="132">
        <v>-2041</v>
      </c>
      <c r="N142" s="132">
        <v>-2041</v>
      </c>
      <c r="O142" s="132">
        <v>-2041</v>
      </c>
      <c r="P142" s="132">
        <v>-2041</v>
      </c>
      <c r="Q142" s="132">
        <v>-2041</v>
      </c>
      <c r="R142" s="237">
        <v>-24492</v>
      </c>
      <c r="S142" s="6"/>
      <c r="T142" s="132">
        <v>-2041</v>
      </c>
      <c r="U142" s="132">
        <v>-2041</v>
      </c>
      <c r="V142" s="132">
        <v>-2041</v>
      </c>
      <c r="W142" s="132">
        <v>-2041</v>
      </c>
      <c r="X142" s="132">
        <v>-2041</v>
      </c>
      <c r="Y142" s="132">
        <v>-2041</v>
      </c>
      <c r="Z142" s="247">
        <f t="shared" si="35"/>
        <v>-12246</v>
      </c>
      <c r="AA142" s="3"/>
      <c r="AB142" s="252">
        <f t="shared" si="34"/>
        <v>-12246</v>
      </c>
      <c r="AC142" s="224">
        <f t="shared" si="36"/>
        <v>0</v>
      </c>
      <c r="AD142" s="8">
        <f t="shared" si="37"/>
        <v>0</v>
      </c>
    </row>
    <row r="143" spans="1:30" x14ac:dyDescent="0.4">
      <c r="A143" s="1" t="s">
        <v>66</v>
      </c>
      <c r="B143" s="193" t="s">
        <v>67</v>
      </c>
      <c r="C143" s="256">
        <v>1460619.42</v>
      </c>
      <c r="D143">
        <v>121718.285</v>
      </c>
      <c r="E143" s="192" t="s">
        <v>19</v>
      </c>
      <c r="F143" s="132">
        <v>115576</v>
      </c>
      <c r="G143" s="132">
        <v>115576</v>
      </c>
      <c r="H143" s="132">
        <v>115576</v>
      </c>
      <c r="I143" s="132">
        <v>115576</v>
      </c>
      <c r="J143" s="132">
        <v>115576</v>
      </c>
      <c r="K143" s="132">
        <v>115576</v>
      </c>
      <c r="L143" s="132">
        <v>115576</v>
      </c>
      <c r="M143" s="132">
        <v>115576</v>
      </c>
      <c r="N143" s="132">
        <v>115576</v>
      </c>
      <c r="O143" s="132">
        <v>115576</v>
      </c>
      <c r="P143" s="132">
        <v>115576</v>
      </c>
      <c r="Q143" s="132">
        <v>115576</v>
      </c>
      <c r="R143" s="237">
        <v>1386912</v>
      </c>
      <c r="S143" s="35"/>
      <c r="T143" s="132">
        <f>115576+3937.37</f>
        <v>119513.37</v>
      </c>
      <c r="U143" s="132">
        <v>115576</v>
      </c>
      <c r="V143" s="132">
        <f>115576+6047</f>
        <v>121623</v>
      </c>
      <c r="W143" s="132">
        <f>115576+3916.67</f>
        <v>119492.67</v>
      </c>
      <c r="X143" s="132">
        <f>115576+3916.67</f>
        <v>119492.67</v>
      </c>
      <c r="Y143" s="132">
        <v>115576</v>
      </c>
      <c r="Z143" s="247">
        <f t="shared" si="35"/>
        <v>711273.71</v>
      </c>
      <c r="AA143" s="6"/>
      <c r="AB143" s="252">
        <f t="shared" si="34"/>
        <v>693456</v>
      </c>
      <c r="AC143" s="224">
        <f t="shared" si="36"/>
        <v>17817.709999999963</v>
      </c>
      <c r="AD143" s="8">
        <f t="shared" si="37"/>
        <v>2.5694074317620674E-2</v>
      </c>
    </row>
    <row r="144" spans="1:30" x14ac:dyDescent="0.4">
      <c r="A144" s="1" t="s">
        <v>68</v>
      </c>
      <c r="B144" s="193" t="s">
        <v>69</v>
      </c>
      <c r="C144" s="257">
        <v>213470</v>
      </c>
      <c r="D144">
        <v>17789.166666666668</v>
      </c>
      <c r="E144" s="192" t="s">
        <v>19</v>
      </c>
      <c r="F144" s="133">
        <v>17380</v>
      </c>
      <c r="G144" s="133">
        <v>17380</v>
      </c>
      <c r="H144" s="133">
        <v>17380</v>
      </c>
      <c r="I144" s="133">
        <v>17380</v>
      </c>
      <c r="J144" s="133">
        <v>17380</v>
      </c>
      <c r="K144" s="133">
        <v>17380</v>
      </c>
      <c r="L144" s="133">
        <v>17380</v>
      </c>
      <c r="M144" s="133">
        <v>17380</v>
      </c>
      <c r="N144" s="133">
        <v>17380</v>
      </c>
      <c r="O144" s="133">
        <v>17380</v>
      </c>
      <c r="P144" s="133">
        <v>17380</v>
      </c>
      <c r="Q144" s="133">
        <v>17380</v>
      </c>
      <c r="R144" s="238">
        <v>208560</v>
      </c>
      <c r="S144" s="6"/>
      <c r="T144" s="133">
        <v>17380</v>
      </c>
      <c r="U144" s="133">
        <v>17380</v>
      </c>
      <c r="V144" s="133">
        <v>17380</v>
      </c>
      <c r="W144" s="133">
        <v>17380</v>
      </c>
      <c r="X144" s="133">
        <v>17380</v>
      </c>
      <c r="Y144" s="133">
        <v>17380</v>
      </c>
      <c r="Z144" s="248">
        <f t="shared" si="35"/>
        <v>104280</v>
      </c>
      <c r="AA144" s="6"/>
      <c r="AB144" s="253">
        <f t="shared" si="34"/>
        <v>104280</v>
      </c>
      <c r="AC144" s="11">
        <f t="shared" si="36"/>
        <v>0</v>
      </c>
      <c r="AD144" s="12">
        <f t="shared" si="37"/>
        <v>0</v>
      </c>
    </row>
    <row r="145" spans="1:30" x14ac:dyDescent="0.4">
      <c r="A145" s="1"/>
      <c r="B145" s="193" t="s">
        <v>70</v>
      </c>
      <c r="C145" s="257">
        <v>79817.42</v>
      </c>
      <c r="D145">
        <v>6651.4516666666668</v>
      </c>
      <c r="E145" s="192" t="s">
        <v>19</v>
      </c>
      <c r="F145" s="133">
        <f>SUM(F132:F144)</f>
        <v>0</v>
      </c>
      <c r="G145" s="133">
        <f t="shared" ref="G145:R145" si="38">SUM(G132:G144)</f>
        <v>0</v>
      </c>
      <c r="H145" s="133">
        <f t="shared" si="38"/>
        <v>0</v>
      </c>
      <c r="I145" s="133">
        <f t="shared" si="38"/>
        <v>0</v>
      </c>
      <c r="J145" s="133">
        <f t="shared" si="38"/>
        <v>0</v>
      </c>
      <c r="K145" s="133">
        <f t="shared" si="38"/>
        <v>0</v>
      </c>
      <c r="L145" s="133">
        <f t="shared" si="38"/>
        <v>0</v>
      </c>
      <c r="M145" s="133">
        <f t="shared" si="38"/>
        <v>0</v>
      </c>
      <c r="N145" s="133">
        <f t="shared" si="38"/>
        <v>0</v>
      </c>
      <c r="O145" s="133">
        <f t="shared" si="38"/>
        <v>0</v>
      </c>
      <c r="P145" s="133">
        <f t="shared" si="38"/>
        <v>0</v>
      </c>
      <c r="Q145" s="133">
        <f t="shared" si="38"/>
        <v>0</v>
      </c>
      <c r="R145" s="238">
        <f t="shared" si="38"/>
        <v>0</v>
      </c>
      <c r="S145" s="35"/>
      <c r="T145" s="133">
        <f>SUM(T132:T144)</f>
        <v>0</v>
      </c>
      <c r="U145" s="133">
        <f t="shared" ref="U145:Z145" si="39">SUM(U132:U144)</f>
        <v>0</v>
      </c>
      <c r="V145" s="133">
        <f t="shared" si="39"/>
        <v>0</v>
      </c>
      <c r="W145" s="133">
        <f t="shared" si="39"/>
        <v>0</v>
      </c>
      <c r="X145" s="133">
        <f t="shared" si="39"/>
        <v>0</v>
      </c>
      <c r="Y145" s="133">
        <f t="shared" si="39"/>
        <v>0</v>
      </c>
      <c r="Z145" s="246">
        <f t="shared" si="39"/>
        <v>0</v>
      </c>
      <c r="AA145" s="35"/>
      <c r="AB145" s="238">
        <f>SUM(AB132:AB144)</f>
        <v>0</v>
      </c>
      <c r="AC145" s="229">
        <f>SUM(AC132:AC144)</f>
        <v>-3.637978807091713E-11</v>
      </c>
      <c r="AD145" s="12" t="e">
        <f>+AC145/AB145</f>
        <v>#DIV/0!</v>
      </c>
    </row>
    <row r="146" spans="1:30" x14ac:dyDescent="0.4">
      <c r="A146" s="1"/>
      <c r="B146" s="193"/>
      <c r="C146" s="257"/>
      <c r="D146"/>
      <c r="E146" s="192" t="s">
        <v>19</v>
      </c>
      <c r="F146" s="134"/>
      <c r="G146" s="134"/>
      <c r="H146" s="134"/>
      <c r="I146" s="134"/>
      <c r="J146" s="134"/>
      <c r="K146" s="134"/>
      <c r="L146" s="134"/>
      <c r="M146" s="134"/>
      <c r="N146" s="134"/>
      <c r="O146" s="134"/>
      <c r="P146" s="134"/>
      <c r="Q146" s="134"/>
      <c r="R146" s="238"/>
      <c r="S146" s="35"/>
      <c r="T146" s="134"/>
      <c r="U146" s="134"/>
      <c r="V146" s="134"/>
      <c r="W146" s="134"/>
      <c r="X146" s="134"/>
      <c r="Y146" s="134"/>
      <c r="Z146" s="246"/>
      <c r="AA146" s="3"/>
      <c r="AB146" s="238"/>
      <c r="AC146" s="9"/>
      <c r="AD146" s="10"/>
    </row>
    <row r="147" spans="1:30" x14ac:dyDescent="0.4">
      <c r="A147" s="1"/>
      <c r="B147" s="193" t="s">
        <v>71</v>
      </c>
      <c r="C147" s="256">
        <v>10420589.52</v>
      </c>
      <c r="D147">
        <v>868382.46</v>
      </c>
      <c r="E147" s="192" t="s">
        <v>19</v>
      </c>
      <c r="F147" s="132">
        <v>1035142.03</v>
      </c>
      <c r="G147" s="132">
        <v>974903.09</v>
      </c>
      <c r="H147" s="132">
        <v>959162.28</v>
      </c>
      <c r="I147" s="132">
        <v>1005436.63</v>
      </c>
      <c r="J147" s="132">
        <v>1078519.3600000001</v>
      </c>
      <c r="K147" s="132">
        <v>993111.9</v>
      </c>
      <c r="L147" s="132">
        <v>886683.34</v>
      </c>
      <c r="M147" s="132">
        <v>916414.34</v>
      </c>
      <c r="N147" s="132">
        <v>922246.8</v>
      </c>
      <c r="O147" s="132">
        <v>913426.38</v>
      </c>
      <c r="P147" s="132">
        <v>858685.57</v>
      </c>
      <c r="Q147" s="132">
        <v>944696.76</v>
      </c>
      <c r="R147" s="237">
        <v>11488428.48</v>
      </c>
      <c r="S147" s="6"/>
      <c r="T147" s="132">
        <f>+T129+T145</f>
        <v>885303.13</v>
      </c>
      <c r="U147" s="132">
        <f t="shared" ref="U147:Z147" si="40">+U129+U145</f>
        <v>927228.99</v>
      </c>
      <c r="V147" s="132">
        <f t="shared" si="40"/>
        <v>975141.62</v>
      </c>
      <c r="W147" s="132">
        <f t="shared" si="40"/>
        <v>930194.32</v>
      </c>
      <c r="X147" s="132">
        <f t="shared" si="40"/>
        <v>907175.92</v>
      </c>
      <c r="Y147" s="132">
        <f t="shared" si="40"/>
        <v>989176.55</v>
      </c>
      <c r="Z147" s="245">
        <f t="shared" si="40"/>
        <v>5614220.5300000003</v>
      </c>
      <c r="AA147" s="33"/>
      <c r="AB147" s="237">
        <f>SUM(F147:K147)</f>
        <v>6046275.290000001</v>
      </c>
      <c r="AC147" s="4">
        <f>+Z147-AB147</f>
        <v>-432054.76000000071</v>
      </c>
      <c r="AD147" s="5">
        <f t="shared" ref="AD147:AD150" si="41">+AC147/AB147</f>
        <v>-7.1458003361934364E-2</v>
      </c>
    </row>
    <row r="148" spans="1:30" x14ac:dyDescent="0.4">
      <c r="A148" s="1"/>
      <c r="B148" s="193"/>
      <c r="C148" s="256"/>
      <c r="D148"/>
      <c r="E148" s="192" t="s">
        <v>19</v>
      </c>
      <c r="F148" s="131"/>
      <c r="G148" s="131"/>
      <c r="H148" s="131"/>
      <c r="I148" s="131"/>
      <c r="J148" s="131"/>
      <c r="K148" s="131"/>
      <c r="L148" s="131"/>
      <c r="M148" s="131"/>
      <c r="N148" s="131"/>
      <c r="O148" s="131"/>
      <c r="P148" s="131"/>
      <c r="Q148" s="131"/>
      <c r="R148" s="237"/>
      <c r="S148" s="35"/>
      <c r="T148" s="131"/>
      <c r="U148" s="131"/>
      <c r="V148" s="131"/>
      <c r="W148" s="131"/>
      <c r="X148" s="131"/>
      <c r="Y148" s="131"/>
      <c r="Z148" s="245"/>
      <c r="AA148" s="35"/>
      <c r="AB148" s="237"/>
      <c r="AC148" s="4"/>
      <c r="AD148" s="5"/>
    </row>
    <row r="149" spans="1:30" x14ac:dyDescent="0.4">
      <c r="A149" s="1"/>
      <c r="B149" s="193"/>
      <c r="C149" s="257"/>
      <c r="D149"/>
      <c r="E149" s="192" t="s">
        <v>19</v>
      </c>
      <c r="F149" s="134"/>
      <c r="G149" s="134"/>
      <c r="H149" s="134"/>
      <c r="I149" s="134"/>
      <c r="J149" s="134"/>
      <c r="K149" s="134"/>
      <c r="L149" s="134"/>
      <c r="M149" s="134"/>
      <c r="N149" s="134"/>
      <c r="O149" s="134"/>
      <c r="P149" s="134"/>
      <c r="Q149" s="134"/>
      <c r="R149" s="238"/>
      <c r="S149" s="35"/>
      <c r="T149" s="134"/>
      <c r="U149" s="134"/>
      <c r="V149" s="134"/>
      <c r="W149" s="134"/>
      <c r="X149" s="134"/>
      <c r="Y149" s="134"/>
      <c r="Z149" s="246"/>
      <c r="AA149" s="6"/>
      <c r="AB149" s="238"/>
      <c r="AC149" s="4"/>
      <c r="AD149" s="5"/>
    </row>
    <row r="150" spans="1:30" ht="15" thickBot="1" x14ac:dyDescent="0.45">
      <c r="A150" s="1"/>
      <c r="B150" s="193" t="s">
        <v>228</v>
      </c>
      <c r="C150" s="259">
        <v>2028678.45</v>
      </c>
      <c r="D150">
        <v>169056.53750000001</v>
      </c>
      <c r="E150" s="192" t="s">
        <v>19</v>
      </c>
      <c r="F150" s="135">
        <v>250468.46</v>
      </c>
      <c r="G150" s="135">
        <v>-223850.48</v>
      </c>
      <c r="H150" s="135">
        <v>262658.26</v>
      </c>
      <c r="I150" s="135">
        <v>-293935.15999999997</v>
      </c>
      <c r="J150" s="135">
        <v>124039.82</v>
      </c>
      <c r="K150" s="135">
        <v>-70389.850000000006</v>
      </c>
      <c r="L150" s="135">
        <v>-335958.68</v>
      </c>
      <c r="M150" s="135">
        <v>203082.06</v>
      </c>
      <c r="N150" s="135">
        <v>-100626.9</v>
      </c>
      <c r="O150" s="135">
        <v>-399008.86</v>
      </c>
      <c r="P150" s="135">
        <v>66372.72</v>
      </c>
      <c r="Q150" s="135">
        <v>-376214.7</v>
      </c>
      <c r="R150" s="240">
        <v>-893363.31</v>
      </c>
      <c r="T150" s="135">
        <f>+T24-T147</f>
        <v>218637.79999999993</v>
      </c>
      <c r="U150" s="135">
        <f t="shared" ref="U150:Z150" si="42">+U24-U147</f>
        <v>-330780.04000000004</v>
      </c>
      <c r="V150" s="135">
        <f t="shared" si="42"/>
        <v>286128.12</v>
      </c>
      <c r="W150" s="135">
        <f t="shared" si="42"/>
        <v>934118.67</v>
      </c>
      <c r="X150" s="135">
        <f t="shared" si="42"/>
        <v>122946.17999999993</v>
      </c>
      <c r="Y150" s="135">
        <f t="shared" si="42"/>
        <v>143299.96999999997</v>
      </c>
      <c r="Z150" s="249">
        <f t="shared" si="42"/>
        <v>1374350.7000000002</v>
      </c>
      <c r="AA150" s="33"/>
      <c r="AB150" s="240">
        <f>SUM(F150:K150)</f>
        <v>48991.050000000017</v>
      </c>
      <c r="AC150" s="13">
        <f>+Z150-AB150</f>
        <v>1325359.6500000001</v>
      </c>
      <c r="AD150" s="14">
        <f t="shared" si="41"/>
        <v>27.053097453514461</v>
      </c>
    </row>
    <row r="151" spans="1:30" ht="15" thickTop="1" x14ac:dyDescent="0.4">
      <c r="A151" s="1"/>
      <c r="D151"/>
      <c r="T151" s="131"/>
      <c r="U151" s="131"/>
      <c r="V151" s="131"/>
      <c r="W151" s="131"/>
      <c r="X151" s="131"/>
      <c r="Y151" s="131"/>
      <c r="Z151" s="245"/>
      <c r="AA151" s="33"/>
      <c r="AB151" s="237"/>
      <c r="AC151" s="4"/>
      <c r="AD151" s="5"/>
    </row>
    <row r="152" spans="1:30" x14ac:dyDescent="0.4">
      <c r="A152" s="1"/>
      <c r="D152"/>
      <c r="T152" s="131"/>
      <c r="U152" s="131"/>
      <c r="V152" s="131"/>
      <c r="W152" s="131"/>
      <c r="X152" s="131"/>
      <c r="Y152" s="131"/>
      <c r="Z152" s="245"/>
      <c r="AA152" s="33"/>
      <c r="AC152" s="4"/>
      <c r="AD152" s="5"/>
    </row>
    <row r="153" spans="1:30" x14ac:dyDescent="0.4">
      <c r="A153" s="1"/>
      <c r="D153"/>
      <c r="T153" s="131"/>
      <c r="U153" s="131"/>
      <c r="V153" s="131"/>
      <c r="W153" s="131"/>
      <c r="X153" s="131"/>
      <c r="Y153" s="131"/>
      <c r="Z153" s="245"/>
      <c r="AC153" s="4"/>
      <c r="AD153" s="5"/>
    </row>
    <row r="154" spans="1:30" x14ac:dyDescent="0.4">
      <c r="A154" s="1"/>
      <c r="D154"/>
      <c r="AC154" s="4"/>
      <c r="AD154" s="5"/>
    </row>
    <row r="155" spans="1:30" x14ac:dyDescent="0.4">
      <c r="A155" s="1"/>
      <c r="D155"/>
      <c r="AC155" s="4"/>
      <c r="AD155" s="5"/>
    </row>
    <row r="156" spans="1:30" x14ac:dyDescent="0.4">
      <c r="A156" s="1"/>
      <c r="D156"/>
      <c r="AC156" s="4"/>
      <c r="AD156" s="5"/>
    </row>
    <row r="157" spans="1:30" x14ac:dyDescent="0.4">
      <c r="A157" s="38"/>
      <c r="D157"/>
      <c r="AC157" s="4"/>
      <c r="AD157" s="5"/>
    </row>
    <row r="158" spans="1:30" x14ac:dyDescent="0.4">
      <c r="D158"/>
      <c r="AC158" s="4"/>
      <c r="AD158" s="5"/>
    </row>
    <row r="159" spans="1:30" x14ac:dyDescent="0.4">
      <c r="D159"/>
      <c r="AC159" s="4"/>
      <c r="AD159" s="5"/>
    </row>
    <row r="160" spans="1:30" x14ac:dyDescent="0.4">
      <c r="D160"/>
      <c r="AC160" s="4"/>
      <c r="AD160" s="5"/>
    </row>
    <row r="161" spans="4:30" x14ac:dyDescent="0.4">
      <c r="D161"/>
      <c r="AC161" s="4"/>
      <c r="AD161" s="5"/>
    </row>
    <row r="162" spans="4:30" x14ac:dyDescent="0.4">
      <c r="D162"/>
      <c r="AC162" s="4"/>
      <c r="AD162" s="5"/>
    </row>
    <row r="163" spans="4:30" x14ac:dyDescent="0.4">
      <c r="D163"/>
      <c r="AC163" s="4"/>
      <c r="AD163" s="5"/>
    </row>
    <row r="164" spans="4:30" x14ac:dyDescent="0.4">
      <c r="D164"/>
      <c r="AC164" s="4"/>
      <c r="AD164" s="5"/>
    </row>
    <row r="165" spans="4:30" x14ac:dyDescent="0.4">
      <c r="D165"/>
      <c r="AC165" s="4"/>
      <c r="AD165" s="5"/>
    </row>
    <row r="166" spans="4:30" x14ac:dyDescent="0.4">
      <c r="D166"/>
      <c r="AC166" s="4"/>
      <c r="AD166" s="5"/>
    </row>
    <row r="167" spans="4:30" x14ac:dyDescent="0.4">
      <c r="D167"/>
      <c r="AC167" s="4"/>
      <c r="AD167" s="5"/>
    </row>
    <row r="168" spans="4:30" x14ac:dyDescent="0.4">
      <c r="D168"/>
      <c r="AC168" s="4"/>
      <c r="AD168" s="5"/>
    </row>
    <row r="169" spans="4:30" x14ac:dyDescent="0.4">
      <c r="D169"/>
      <c r="AC169" s="4"/>
      <c r="AD169" s="5"/>
    </row>
    <row r="170" spans="4:30" x14ac:dyDescent="0.4">
      <c r="D170"/>
      <c r="AC170" s="4"/>
      <c r="AD170" s="5"/>
    </row>
    <row r="171" spans="4:30" x14ac:dyDescent="0.4">
      <c r="D171"/>
      <c r="AC171" s="4"/>
      <c r="AD171" s="5"/>
    </row>
    <row r="172" spans="4:30" x14ac:dyDescent="0.4">
      <c r="D172"/>
      <c r="AC172" s="4"/>
      <c r="AD172" s="5"/>
    </row>
    <row r="173" spans="4:30" x14ac:dyDescent="0.4">
      <c r="D173"/>
      <c r="AC173" s="4"/>
      <c r="AD173" s="5"/>
    </row>
    <row r="174" spans="4:30" x14ac:dyDescent="0.4">
      <c r="D174"/>
      <c r="AC174" s="4"/>
      <c r="AD174" s="5"/>
    </row>
    <row r="175" spans="4:30" x14ac:dyDescent="0.4">
      <c r="D175"/>
      <c r="AC175" s="4"/>
      <c r="AD175" s="5"/>
    </row>
    <row r="176" spans="4:30" x14ac:dyDescent="0.4">
      <c r="D176"/>
      <c r="AC176" s="4"/>
      <c r="AD176" s="5"/>
    </row>
    <row r="177" spans="4:30" x14ac:dyDescent="0.4">
      <c r="D177"/>
      <c r="AC177" s="4"/>
      <c r="AD177" s="5"/>
    </row>
    <row r="178" spans="4:30" x14ac:dyDescent="0.4">
      <c r="D178"/>
      <c r="AC178" s="4"/>
      <c r="AD178" s="5"/>
    </row>
    <row r="179" spans="4:30" x14ac:dyDescent="0.4">
      <c r="D179"/>
      <c r="AC179" s="4"/>
      <c r="AD179" s="5"/>
    </row>
    <row r="180" spans="4:30" x14ac:dyDescent="0.4">
      <c r="D180"/>
      <c r="AC180" s="4"/>
      <c r="AD180" s="5"/>
    </row>
    <row r="181" spans="4:30" x14ac:dyDescent="0.4">
      <c r="D181"/>
      <c r="AC181" s="4"/>
      <c r="AD181" s="5"/>
    </row>
    <row r="182" spans="4:30" x14ac:dyDescent="0.4">
      <c r="D182"/>
      <c r="AC182" s="4"/>
      <c r="AD182" s="5"/>
    </row>
    <row r="183" spans="4:30" x14ac:dyDescent="0.4">
      <c r="D183"/>
      <c r="AC183" s="4"/>
      <c r="AD183" s="5"/>
    </row>
    <row r="184" spans="4:30" x14ac:dyDescent="0.4">
      <c r="D184"/>
      <c r="AC184" s="4"/>
      <c r="AD184" s="5"/>
    </row>
    <row r="185" spans="4:30" x14ac:dyDescent="0.4">
      <c r="D185"/>
      <c r="AC185" s="4"/>
      <c r="AD185" s="5"/>
    </row>
    <row r="186" spans="4:30" x14ac:dyDescent="0.4">
      <c r="D186"/>
      <c r="AC186" s="4"/>
      <c r="AD186" s="5"/>
    </row>
    <row r="187" spans="4:30" x14ac:dyDescent="0.4">
      <c r="D187"/>
      <c r="AC187" s="4"/>
      <c r="AD187" s="5"/>
    </row>
    <row r="188" spans="4:30" x14ac:dyDescent="0.4">
      <c r="D188"/>
      <c r="AC188" s="4"/>
      <c r="AD188" s="5"/>
    </row>
    <row r="189" spans="4:30" x14ac:dyDescent="0.4">
      <c r="D189"/>
      <c r="AC189" s="4"/>
      <c r="AD189" s="5"/>
    </row>
    <row r="190" spans="4:30" x14ac:dyDescent="0.4">
      <c r="D190"/>
      <c r="AC190" s="4"/>
      <c r="AD190" s="5"/>
    </row>
    <row r="191" spans="4:30" x14ac:dyDescent="0.4">
      <c r="D191"/>
      <c r="AC191" s="4"/>
      <c r="AD191" s="5"/>
    </row>
    <row r="192" spans="4:30" x14ac:dyDescent="0.4">
      <c r="D192"/>
      <c r="AC192" s="4"/>
      <c r="AD192" s="5"/>
    </row>
    <row r="193" spans="4:30" x14ac:dyDescent="0.4">
      <c r="D193"/>
      <c r="AC193" s="4"/>
      <c r="AD193" s="5"/>
    </row>
    <row r="194" spans="4:30" x14ac:dyDescent="0.4">
      <c r="D194"/>
      <c r="AC194" s="4"/>
      <c r="AD194" s="5"/>
    </row>
    <row r="195" spans="4:30" x14ac:dyDescent="0.4">
      <c r="D195"/>
      <c r="AC195" s="4"/>
      <c r="AD195" s="5"/>
    </row>
    <row r="196" spans="4:30" x14ac:dyDescent="0.4">
      <c r="D196"/>
      <c r="AC196" s="4"/>
      <c r="AD196" s="5"/>
    </row>
    <row r="197" spans="4:30" x14ac:dyDescent="0.4">
      <c r="AC197" s="4"/>
      <c r="AD197" s="5"/>
    </row>
    <row r="198" spans="4:30" x14ac:dyDescent="0.4">
      <c r="AC198" s="4"/>
      <c r="AD198" s="5"/>
    </row>
    <row r="199" spans="4:30" x14ac:dyDescent="0.4">
      <c r="AC199" s="4"/>
      <c r="AD199" s="5"/>
    </row>
    <row r="200" spans="4:30" x14ac:dyDescent="0.4">
      <c r="AC200" s="4"/>
      <c r="AD200" s="5"/>
    </row>
    <row r="201" spans="4:30" x14ac:dyDescent="0.4">
      <c r="AC201" s="4"/>
      <c r="AD201" s="5"/>
    </row>
    <row r="202" spans="4:30" x14ac:dyDescent="0.4">
      <c r="AC202" s="4"/>
      <c r="AD202" s="5"/>
    </row>
    <row r="203" spans="4:30" x14ac:dyDescent="0.4">
      <c r="AC203" s="4"/>
      <c r="AD203" s="5"/>
    </row>
    <row r="204" spans="4:30" x14ac:dyDescent="0.4">
      <c r="AC204" s="4"/>
      <c r="AD204" s="5"/>
    </row>
    <row r="205" spans="4:30" x14ac:dyDescent="0.4">
      <c r="AC205" s="4"/>
      <c r="AD205" s="5"/>
    </row>
    <row r="206" spans="4:30" x14ac:dyDescent="0.4">
      <c r="AC206" s="4"/>
      <c r="AD206" s="5"/>
    </row>
    <row r="207" spans="4:30" x14ac:dyDescent="0.4">
      <c r="AC207" s="4"/>
      <c r="AD207" s="5"/>
    </row>
    <row r="208" spans="4:30" x14ac:dyDescent="0.4">
      <c r="AC208" s="4"/>
      <c r="AD208" s="5"/>
    </row>
    <row r="209" spans="29:30" x14ac:dyDescent="0.4">
      <c r="AC209" s="4"/>
      <c r="AD209" s="5"/>
    </row>
    <row r="210" spans="29:30" x14ac:dyDescent="0.4">
      <c r="AC210" s="4"/>
      <c r="AD210" s="5"/>
    </row>
    <row r="211" spans="29:30" x14ac:dyDescent="0.4">
      <c r="AC211" s="4"/>
      <c r="AD211" s="5"/>
    </row>
    <row r="212" spans="29:30" x14ac:dyDescent="0.4">
      <c r="AC212" s="4"/>
      <c r="AD212" s="5"/>
    </row>
    <row r="213" spans="29:30" x14ac:dyDescent="0.4">
      <c r="AC213" s="4"/>
      <c r="AD213" s="5"/>
    </row>
    <row r="214" spans="29:30" x14ac:dyDescent="0.4">
      <c r="AC214" s="4"/>
      <c r="AD214" s="5"/>
    </row>
    <row r="215" spans="29:30" x14ac:dyDescent="0.4">
      <c r="AC215" s="4"/>
      <c r="AD215" s="5"/>
    </row>
    <row r="216" spans="29:30" x14ac:dyDescent="0.4">
      <c r="AC216" s="4"/>
      <c r="AD216" s="5"/>
    </row>
    <row r="217" spans="29:30" x14ac:dyDescent="0.4">
      <c r="AC217" s="4"/>
      <c r="AD217" s="5"/>
    </row>
    <row r="218" spans="29:30" x14ac:dyDescent="0.4">
      <c r="AC218" s="4"/>
      <c r="AD218" s="5"/>
    </row>
    <row r="219" spans="29:30" x14ac:dyDescent="0.4">
      <c r="AC219" s="4"/>
      <c r="AD219" s="5"/>
    </row>
    <row r="220" spans="29:30" x14ac:dyDescent="0.4">
      <c r="AC220" s="4"/>
      <c r="AD220" s="5"/>
    </row>
    <row r="221" spans="29:30" x14ac:dyDescent="0.4">
      <c r="AC221" s="4"/>
      <c r="AD221" s="5"/>
    </row>
    <row r="222" spans="29:30" x14ac:dyDescent="0.4">
      <c r="AC222" s="4"/>
      <c r="AD222" s="5"/>
    </row>
    <row r="223" spans="29:30" x14ac:dyDescent="0.4">
      <c r="AC223" s="4"/>
      <c r="AD223" s="5"/>
    </row>
    <row r="224" spans="29:30" x14ac:dyDescent="0.4">
      <c r="AC224" s="4"/>
      <c r="AD224" s="5"/>
    </row>
    <row r="225" spans="29:30" x14ac:dyDescent="0.4">
      <c r="AC225" s="4"/>
      <c r="AD225" s="5"/>
    </row>
    <row r="226" spans="29:30" x14ac:dyDescent="0.4">
      <c r="AC226" s="4"/>
      <c r="AD226" s="5"/>
    </row>
    <row r="227" spans="29:30" x14ac:dyDescent="0.4">
      <c r="AC227" s="4"/>
      <c r="AD227" s="5"/>
    </row>
    <row r="228" spans="29:30" x14ac:dyDescent="0.4">
      <c r="AC228" s="4"/>
      <c r="AD228" s="5"/>
    </row>
    <row r="229" spans="29:30" x14ac:dyDescent="0.4">
      <c r="AC229" s="4"/>
      <c r="AD229" s="5"/>
    </row>
    <row r="230" spans="29:30" x14ac:dyDescent="0.4">
      <c r="AC230" s="4"/>
      <c r="AD230" s="5"/>
    </row>
    <row r="231" spans="29:30" x14ac:dyDescent="0.4">
      <c r="AC231" s="4"/>
      <c r="AD231" s="5"/>
    </row>
    <row r="232" spans="29:30" x14ac:dyDescent="0.4">
      <c r="AC232" s="4"/>
      <c r="AD232" s="5"/>
    </row>
    <row r="233" spans="29:30" x14ac:dyDescent="0.4">
      <c r="AC233" s="4"/>
      <c r="AD233" s="5"/>
    </row>
    <row r="234" spans="29:30" x14ac:dyDescent="0.4">
      <c r="AC234" s="4"/>
      <c r="AD234" s="5"/>
    </row>
    <row r="235" spans="29:30" x14ac:dyDescent="0.4">
      <c r="AC235" s="4"/>
      <c r="AD235" s="5"/>
    </row>
    <row r="236" spans="29:30" x14ac:dyDescent="0.4">
      <c r="AC236" s="4"/>
      <c r="AD236" s="5"/>
    </row>
    <row r="237" spans="29:30" x14ac:dyDescent="0.4">
      <c r="AC237" s="4"/>
      <c r="AD237" s="5"/>
    </row>
    <row r="238" spans="29:30" x14ac:dyDescent="0.4">
      <c r="AC238" s="4"/>
      <c r="AD238" s="5"/>
    </row>
    <row r="239" spans="29:30" x14ac:dyDescent="0.4">
      <c r="AC239" s="4"/>
      <c r="AD239" s="5"/>
    </row>
    <row r="240" spans="29:30" x14ac:dyDescent="0.4">
      <c r="AC240" s="4"/>
      <c r="AD240" s="5"/>
    </row>
    <row r="241" spans="29:30" x14ac:dyDescent="0.4">
      <c r="AC241" s="4"/>
      <c r="AD241" s="5"/>
    </row>
    <row r="242" spans="29:30" x14ac:dyDescent="0.4">
      <c r="AC242" s="4"/>
      <c r="AD242" s="5"/>
    </row>
    <row r="243" spans="29:30" x14ac:dyDescent="0.4">
      <c r="AC243" s="4"/>
      <c r="AD243" s="5"/>
    </row>
    <row r="244" spans="29:30" x14ac:dyDescent="0.4">
      <c r="AC244" s="4"/>
      <c r="AD244" s="5"/>
    </row>
    <row r="245" spans="29:30" x14ac:dyDescent="0.4">
      <c r="AC245" s="4"/>
      <c r="AD245" s="5"/>
    </row>
    <row r="246" spans="29:30" x14ac:dyDescent="0.4">
      <c r="AC246" s="4"/>
      <c r="AD246" s="5"/>
    </row>
    <row r="247" spans="29:30" x14ac:dyDescent="0.4">
      <c r="AC247" s="4"/>
      <c r="AD247" s="5"/>
    </row>
    <row r="248" spans="29:30" x14ac:dyDescent="0.4">
      <c r="AC248" s="4"/>
      <c r="AD248" s="5"/>
    </row>
    <row r="249" spans="29:30" x14ac:dyDescent="0.4">
      <c r="AC249" s="4"/>
      <c r="AD249" s="5"/>
    </row>
    <row r="250" spans="29:30" x14ac:dyDescent="0.4">
      <c r="AC250" s="4"/>
      <c r="AD250" s="5"/>
    </row>
    <row r="251" spans="29:30" x14ac:dyDescent="0.4">
      <c r="AC251" s="4"/>
      <c r="AD251" s="5"/>
    </row>
    <row r="252" spans="29:30" x14ac:dyDescent="0.4">
      <c r="AC252" s="4"/>
      <c r="AD252" s="5"/>
    </row>
    <row r="253" spans="29:30" x14ac:dyDescent="0.4">
      <c r="AC253" s="4"/>
      <c r="AD253" s="5"/>
    </row>
    <row r="254" spans="29:30" x14ac:dyDescent="0.4">
      <c r="AC254" s="4"/>
      <c r="AD254" s="5"/>
    </row>
    <row r="255" spans="29:30" x14ac:dyDescent="0.4">
      <c r="AC255" s="4"/>
      <c r="AD255" s="5"/>
    </row>
    <row r="256" spans="29:30" x14ac:dyDescent="0.4">
      <c r="AC256" s="4"/>
      <c r="AD256" s="5"/>
    </row>
    <row r="257" spans="29:30" x14ac:dyDescent="0.4">
      <c r="AC257" s="4"/>
      <c r="AD257" s="5"/>
    </row>
    <row r="258" spans="29:30" x14ac:dyDescent="0.4">
      <c r="AC258" s="4"/>
      <c r="AD258" s="5"/>
    </row>
    <row r="259" spans="29:30" x14ac:dyDescent="0.4">
      <c r="AC259" s="4"/>
      <c r="AD259" s="5"/>
    </row>
    <row r="260" spans="29:30" x14ac:dyDescent="0.4">
      <c r="AC260" s="4"/>
      <c r="AD260" s="5"/>
    </row>
    <row r="261" spans="29:30" x14ac:dyDescent="0.4">
      <c r="AC261" s="4"/>
      <c r="AD261" s="5"/>
    </row>
    <row r="262" spans="29:30" x14ac:dyDescent="0.4">
      <c r="AC262" s="4"/>
      <c r="AD262" s="5"/>
    </row>
    <row r="263" spans="29:30" x14ac:dyDescent="0.4">
      <c r="AC263" s="4"/>
      <c r="AD263" s="5"/>
    </row>
    <row r="264" spans="29:30" x14ac:dyDescent="0.4">
      <c r="AC264" s="4"/>
      <c r="AD264" s="5"/>
    </row>
    <row r="265" spans="29:30" x14ac:dyDescent="0.4">
      <c r="AC265" s="4"/>
      <c r="AD265" s="5"/>
    </row>
    <row r="266" spans="29:30" x14ac:dyDescent="0.4">
      <c r="AC266" s="4"/>
      <c r="AD266" s="5"/>
    </row>
    <row r="267" spans="29:30" x14ac:dyDescent="0.4">
      <c r="AC267" s="4"/>
      <c r="AD267" s="5"/>
    </row>
    <row r="268" spans="29:30" x14ac:dyDescent="0.4">
      <c r="AC268" s="4"/>
      <c r="AD268" s="5"/>
    </row>
    <row r="269" spans="29:30" x14ac:dyDescent="0.4">
      <c r="AC269" s="4"/>
      <c r="AD269" s="5"/>
    </row>
    <row r="270" spans="29:30" x14ac:dyDescent="0.4">
      <c r="AC270" s="4"/>
      <c r="AD270" s="5"/>
    </row>
    <row r="271" spans="29:30" x14ac:dyDescent="0.4">
      <c r="AC271" s="4"/>
      <c r="AD271" s="5"/>
    </row>
    <row r="272" spans="29:30" x14ac:dyDescent="0.4">
      <c r="AC272" s="4"/>
      <c r="AD272" s="5"/>
    </row>
    <row r="273" spans="29:30" x14ac:dyDescent="0.4">
      <c r="AC273" s="4"/>
      <c r="AD273" s="5"/>
    </row>
    <row r="274" spans="29:30" x14ac:dyDescent="0.4">
      <c r="AC274" s="4"/>
      <c r="AD274" s="5"/>
    </row>
    <row r="275" spans="29:30" x14ac:dyDescent="0.4">
      <c r="AC275" s="4"/>
      <c r="AD275" s="5"/>
    </row>
    <row r="276" spans="29:30" x14ac:dyDescent="0.4">
      <c r="AC276" s="4"/>
      <c r="AD276" s="5"/>
    </row>
    <row r="277" spans="29:30" x14ac:dyDescent="0.4">
      <c r="AC277" s="4"/>
      <c r="AD277" s="5"/>
    </row>
    <row r="278" spans="29:30" x14ac:dyDescent="0.4">
      <c r="AC278" s="4"/>
      <c r="AD278" s="5"/>
    </row>
    <row r="279" spans="29:30" x14ac:dyDescent="0.4">
      <c r="AC279" s="4"/>
      <c r="AD279" s="5"/>
    </row>
    <row r="280" spans="29:30" x14ac:dyDescent="0.4">
      <c r="AC280" s="4"/>
      <c r="AD280" s="5"/>
    </row>
    <row r="281" spans="29:30" x14ac:dyDescent="0.4">
      <c r="AC281" s="4"/>
      <c r="AD281" s="5"/>
    </row>
    <row r="282" spans="29:30" x14ac:dyDescent="0.4">
      <c r="AC282" s="4"/>
      <c r="AD282" s="5"/>
    </row>
    <row r="283" spans="29:30" x14ac:dyDescent="0.4">
      <c r="AC283" s="4"/>
      <c r="AD283" s="39"/>
    </row>
    <row r="284" spans="29:30" x14ac:dyDescent="0.4">
      <c r="AC284" s="4"/>
      <c r="AD284" s="39"/>
    </row>
    <row r="285" spans="29:30" x14ac:dyDescent="0.4">
      <c r="AC285" s="4"/>
      <c r="AD285" s="39"/>
    </row>
    <row r="286" spans="29:30" x14ac:dyDescent="0.4">
      <c r="AC286" s="39"/>
      <c r="AD286" s="39"/>
    </row>
    <row r="287" spans="29:30" x14ac:dyDescent="0.4">
      <c r="AC287" s="39"/>
      <c r="AD287" s="39"/>
    </row>
    <row r="288" spans="29:30" x14ac:dyDescent="0.4">
      <c r="AC288" s="39"/>
      <c r="AD288" s="39"/>
    </row>
    <row r="291" spans="28:28" x14ac:dyDescent="0.4">
      <c r="AB291" s="241">
        <f>SUM(F278:M278)</f>
        <v>0</v>
      </c>
    </row>
    <row r="292" spans="28:28" x14ac:dyDescent="0.4">
      <c r="AB292" s="241">
        <f>SUM(F279:M279)</f>
        <v>0</v>
      </c>
    </row>
  </sheetData>
  <mergeCells count="3">
    <mergeCell ref="A1:AD1"/>
    <mergeCell ref="A2:AD2"/>
    <mergeCell ref="A3:AD3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D280"/>
  <sheetViews>
    <sheetView topLeftCell="B1" workbookViewId="0">
      <selection sqref="A1:AC1"/>
    </sheetView>
  </sheetViews>
  <sheetFormatPr defaultColWidth="9.15234375" defaultRowHeight="14.6" x14ac:dyDescent="0.4"/>
  <cols>
    <col min="1" max="1" width="0" style="2" hidden="1" customWidth="1"/>
    <col min="2" max="2" width="22.3046875" style="2" bestFit="1" customWidth="1"/>
    <col min="3" max="4" width="9.15234375" style="2"/>
    <col min="5" max="5" width="2.69140625" style="2" customWidth="1"/>
    <col min="6" max="18" width="9.15234375" style="2" customWidth="1"/>
    <col min="19" max="19" width="2.69140625" style="37" customWidth="1"/>
    <col min="20" max="20" width="7.69140625" style="37" bestFit="1" customWidth="1"/>
    <col min="21" max="25" width="7.69140625" style="37" customWidth="1"/>
    <col min="26" max="26" width="9.15234375" style="2"/>
    <col min="27" max="27" width="2.53515625" style="2" customWidth="1"/>
    <col min="28" max="28" width="8.3828125" style="2" bestFit="1" customWidth="1"/>
    <col min="29" max="16384" width="9.15234375" style="2"/>
  </cols>
  <sheetData>
    <row r="1" spans="1:30" x14ac:dyDescent="0.4">
      <c r="A1" s="296" t="s">
        <v>234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  <c r="R1" s="296"/>
      <c r="S1" s="296"/>
      <c r="T1" s="296"/>
      <c r="U1" s="296"/>
      <c r="V1" s="296"/>
      <c r="W1" s="296"/>
      <c r="X1" s="296"/>
      <c r="Y1" s="296"/>
      <c r="Z1" s="296"/>
      <c r="AA1" s="296"/>
      <c r="AB1" s="296"/>
      <c r="AC1" s="296"/>
    </row>
    <row r="2" spans="1:30" ht="15" customHeight="1" x14ac:dyDescent="0.4">
      <c r="A2" s="296" t="s">
        <v>0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  <c r="Q2" s="296"/>
      <c r="R2" s="296"/>
      <c r="S2" s="296"/>
      <c r="T2" s="296"/>
      <c r="U2" s="296"/>
      <c r="V2" s="296"/>
      <c r="W2" s="296"/>
      <c r="X2" s="296"/>
      <c r="Y2" s="296"/>
      <c r="Z2" s="296"/>
      <c r="AA2" s="296"/>
      <c r="AB2" s="296"/>
      <c r="AC2" s="296"/>
    </row>
    <row r="3" spans="1:30" ht="15" customHeight="1" x14ac:dyDescent="0.4">
      <c r="A3" s="296" t="s">
        <v>248</v>
      </c>
      <c r="B3" s="296"/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296"/>
      <c r="Q3" s="296"/>
      <c r="R3" s="296"/>
      <c r="S3" s="296"/>
      <c r="T3" s="296"/>
      <c r="U3" s="296"/>
      <c r="V3" s="296"/>
      <c r="W3" s="296"/>
      <c r="X3" s="296"/>
      <c r="Y3" s="296"/>
      <c r="Z3" s="296"/>
      <c r="AA3" s="296"/>
      <c r="AB3" s="296"/>
      <c r="AC3" s="296"/>
    </row>
    <row r="4" spans="1:30" ht="15" customHeight="1" x14ac:dyDescent="0.4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1"/>
      <c r="T4" s="41"/>
      <c r="U4" s="41"/>
      <c r="V4" s="41"/>
      <c r="W4" s="41"/>
      <c r="X4" s="41"/>
      <c r="Y4" s="41"/>
    </row>
    <row r="5" spans="1:30" x14ac:dyDescent="0.4">
      <c r="A5" s="42" t="s">
        <v>1</v>
      </c>
      <c r="B5" s="43" t="s">
        <v>2</v>
      </c>
      <c r="C5" s="43" t="s">
        <v>235</v>
      </c>
      <c r="D5" s="43" t="s">
        <v>3</v>
      </c>
      <c r="E5" s="44"/>
      <c r="F5" s="43" t="s">
        <v>4</v>
      </c>
      <c r="G5" s="43" t="s">
        <v>5</v>
      </c>
      <c r="H5" s="43" t="s">
        <v>6</v>
      </c>
      <c r="I5" s="43" t="s">
        <v>7</v>
      </c>
      <c r="J5" s="43" t="s">
        <v>8</v>
      </c>
      <c r="K5" s="43" t="s">
        <v>9</v>
      </c>
      <c r="L5" s="43" t="s">
        <v>10</v>
      </c>
      <c r="M5" s="43" t="s">
        <v>11</v>
      </c>
      <c r="N5" s="43" t="s">
        <v>12</v>
      </c>
      <c r="O5" s="43" t="s">
        <v>13</v>
      </c>
      <c r="P5" s="43" t="s">
        <v>14</v>
      </c>
      <c r="Q5" s="43" t="s">
        <v>15</v>
      </c>
      <c r="R5" s="43" t="s">
        <v>242</v>
      </c>
      <c r="S5" s="45"/>
      <c r="T5" s="172" t="s">
        <v>16</v>
      </c>
      <c r="U5" s="172" t="s">
        <v>244</v>
      </c>
      <c r="V5" s="172" t="s">
        <v>245</v>
      </c>
      <c r="W5" s="172" t="s">
        <v>246</v>
      </c>
      <c r="X5" s="172" t="s">
        <v>247</v>
      </c>
      <c r="Y5" s="172" t="s">
        <v>249</v>
      </c>
      <c r="Z5" s="172" t="s">
        <v>17</v>
      </c>
      <c r="AA5" s="45"/>
      <c r="AB5" s="195" t="s">
        <v>238</v>
      </c>
      <c r="AC5" s="29" t="s">
        <v>240</v>
      </c>
      <c r="AD5" s="29" t="s">
        <v>239</v>
      </c>
    </row>
    <row r="6" spans="1:30" x14ac:dyDescent="0.4">
      <c r="A6" s="46"/>
      <c r="B6" s="47" t="s">
        <v>18</v>
      </c>
      <c r="C6" s="48"/>
      <c r="D6" s="48"/>
      <c r="E6" s="49" t="s">
        <v>19</v>
      </c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50"/>
      <c r="T6" s="173"/>
      <c r="U6" s="173"/>
      <c r="V6" s="173"/>
      <c r="W6" s="173"/>
      <c r="X6" s="173"/>
      <c r="Y6" s="173"/>
      <c r="Z6" s="173"/>
      <c r="AA6" s="48"/>
    </row>
    <row r="7" spans="1:30" x14ac:dyDescent="0.4">
      <c r="A7" s="46"/>
      <c r="B7" s="47" t="s">
        <v>20</v>
      </c>
      <c r="C7" s="48"/>
      <c r="D7" s="48"/>
      <c r="E7" s="49" t="s">
        <v>19</v>
      </c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50"/>
      <c r="T7" s="173"/>
      <c r="U7" s="173"/>
      <c r="V7" s="173"/>
      <c r="W7" s="173"/>
      <c r="X7" s="173"/>
      <c r="Y7" s="173"/>
      <c r="Z7" s="173"/>
      <c r="AA7" s="48"/>
    </row>
    <row r="8" spans="1:30" x14ac:dyDescent="0.4">
      <c r="A8" s="46" t="s">
        <v>21</v>
      </c>
      <c r="B8" s="205" t="s">
        <v>22</v>
      </c>
      <c r="C8" s="174">
        <v>85845</v>
      </c>
      <c r="D8" s="174">
        <v>7153.75</v>
      </c>
      <c r="E8" s="206" t="s">
        <v>19</v>
      </c>
      <c r="F8" s="174">
        <v>500</v>
      </c>
      <c r="G8" s="174">
        <v>15250</v>
      </c>
      <c r="H8" s="174">
        <v>56187</v>
      </c>
      <c r="I8" s="174">
        <v>1350</v>
      </c>
      <c r="J8" s="174">
        <v>150</v>
      </c>
      <c r="K8" s="173"/>
      <c r="L8" s="174">
        <v>10790</v>
      </c>
      <c r="M8" s="174">
        <v>150</v>
      </c>
      <c r="N8" s="174">
        <v>200</v>
      </c>
      <c r="O8" s="173"/>
      <c r="P8" s="174">
        <v>100</v>
      </c>
      <c r="Q8" s="173"/>
      <c r="R8" s="174">
        <v>84677</v>
      </c>
      <c r="S8" s="21"/>
      <c r="T8" s="173"/>
      <c r="U8" s="174">
        <v>63535</v>
      </c>
      <c r="V8" s="174">
        <v>3000</v>
      </c>
      <c r="W8" s="174">
        <v>150</v>
      </c>
      <c r="X8" s="173"/>
      <c r="Y8" s="173"/>
      <c r="Z8" s="174">
        <v>66685</v>
      </c>
      <c r="AA8" s="20"/>
      <c r="AB8" s="21">
        <f t="shared" ref="AB8:AB13" si="0">SUM(F8:K8)</f>
        <v>73437</v>
      </c>
      <c r="AC8" s="224">
        <f>+Z8-AB8</f>
        <v>-6752</v>
      </c>
      <c r="AD8" s="8">
        <f>+AC8/AB8</f>
        <v>-9.1942753652790823E-2</v>
      </c>
    </row>
    <row r="9" spans="1:30" x14ac:dyDescent="0.4">
      <c r="A9" s="46" t="s">
        <v>27</v>
      </c>
      <c r="B9" s="205" t="s">
        <v>30</v>
      </c>
      <c r="C9" s="174">
        <v>10901.92</v>
      </c>
      <c r="D9" s="174">
        <v>908.49333333333334</v>
      </c>
      <c r="E9" s="206" t="s">
        <v>19</v>
      </c>
      <c r="F9" s="173"/>
      <c r="G9" s="173"/>
      <c r="H9" s="174">
        <v>60</v>
      </c>
      <c r="I9" s="174">
        <v>8352.1</v>
      </c>
      <c r="J9" s="174">
        <v>2250</v>
      </c>
      <c r="K9" s="174">
        <v>374.01</v>
      </c>
      <c r="L9" s="173"/>
      <c r="M9" s="174">
        <v>97.75</v>
      </c>
      <c r="N9" s="174">
        <v>402.51</v>
      </c>
      <c r="O9" s="173"/>
      <c r="P9" s="174">
        <v>200</v>
      </c>
      <c r="Q9" s="174">
        <v>100</v>
      </c>
      <c r="R9" s="174">
        <v>11836.37</v>
      </c>
      <c r="S9" s="50"/>
      <c r="T9" s="173"/>
      <c r="U9" s="174">
        <v>35</v>
      </c>
      <c r="V9" s="174">
        <v>110</v>
      </c>
      <c r="W9" s="174">
        <v>525</v>
      </c>
      <c r="X9" s="174">
        <v>528.5</v>
      </c>
      <c r="Y9" s="174">
        <v>25</v>
      </c>
      <c r="Z9" s="174">
        <v>1223.5</v>
      </c>
      <c r="AA9" s="20"/>
      <c r="AB9" s="21">
        <f t="shared" si="0"/>
        <v>11036.11</v>
      </c>
      <c r="AC9" s="224">
        <f t="shared" ref="AC9:AC13" si="1">+Z9-AB9</f>
        <v>-9812.61</v>
      </c>
      <c r="AD9" s="8">
        <f t="shared" ref="AD9:AD13" si="2">+AC9/AB9</f>
        <v>-0.88913666137796743</v>
      </c>
    </row>
    <row r="10" spans="1:30" x14ac:dyDescent="0.4">
      <c r="A10" s="46" t="s">
        <v>29</v>
      </c>
      <c r="B10" s="205" t="s">
        <v>33</v>
      </c>
      <c r="C10" s="174">
        <v>2290.94</v>
      </c>
      <c r="D10" s="174">
        <v>190.91166666666669</v>
      </c>
      <c r="E10" s="206" t="s">
        <v>19</v>
      </c>
      <c r="F10" s="173"/>
      <c r="G10" s="173"/>
      <c r="H10" s="174">
        <v>67.38</v>
      </c>
      <c r="I10" s="173"/>
      <c r="J10" s="173"/>
      <c r="K10" s="173"/>
      <c r="L10" s="173"/>
      <c r="M10" s="173"/>
      <c r="N10" s="173"/>
      <c r="O10" s="173"/>
      <c r="P10" s="173"/>
      <c r="Q10" s="173"/>
      <c r="R10" s="174">
        <v>67.38</v>
      </c>
      <c r="S10" s="21"/>
      <c r="T10" s="173"/>
      <c r="U10" s="173"/>
      <c r="V10" s="173"/>
      <c r="W10" s="173"/>
      <c r="X10" s="173"/>
      <c r="Y10" s="173"/>
      <c r="Z10" s="173"/>
      <c r="AA10" s="20"/>
      <c r="AB10" s="21">
        <f t="shared" si="0"/>
        <v>67.38</v>
      </c>
      <c r="AC10" s="224">
        <f t="shared" si="1"/>
        <v>-67.38</v>
      </c>
      <c r="AD10" s="8">
        <f t="shared" si="2"/>
        <v>-1</v>
      </c>
    </row>
    <row r="11" spans="1:30" x14ac:dyDescent="0.4">
      <c r="A11" s="46" t="s">
        <v>32</v>
      </c>
      <c r="B11" s="205" t="s">
        <v>41</v>
      </c>
      <c r="C11" s="174">
        <v>34673.43</v>
      </c>
      <c r="D11" s="174">
        <v>2889.4524999999999</v>
      </c>
      <c r="E11" s="206" t="s">
        <v>19</v>
      </c>
      <c r="F11" s="174">
        <v>261.38</v>
      </c>
      <c r="G11" s="174">
        <v>5550.83</v>
      </c>
      <c r="H11" s="173"/>
      <c r="I11" s="174">
        <v>1232.18</v>
      </c>
      <c r="J11" s="174">
        <v>669.9</v>
      </c>
      <c r="K11" s="174">
        <v>2763.38</v>
      </c>
      <c r="L11" s="174">
        <v>170.1</v>
      </c>
      <c r="M11" s="174">
        <v>46.13</v>
      </c>
      <c r="N11" s="173"/>
      <c r="O11" s="174">
        <v>307.5</v>
      </c>
      <c r="P11" s="174">
        <v>78.75</v>
      </c>
      <c r="Q11" s="174">
        <v>1332.5</v>
      </c>
      <c r="R11" s="174">
        <v>12412.65</v>
      </c>
      <c r="S11" s="21"/>
      <c r="T11" s="174">
        <v>219.9</v>
      </c>
      <c r="U11" s="174">
        <v>210</v>
      </c>
      <c r="V11" s="173"/>
      <c r="W11" s="174">
        <v>2271.4</v>
      </c>
      <c r="X11" s="174">
        <v>157.5</v>
      </c>
      <c r="Y11" s="174">
        <v>7572.93</v>
      </c>
      <c r="Z11" s="174">
        <v>10431.73</v>
      </c>
      <c r="AA11" s="20"/>
      <c r="AB11" s="21">
        <f t="shared" si="0"/>
        <v>10477.67</v>
      </c>
      <c r="AC11" s="224">
        <f t="shared" si="1"/>
        <v>-45.940000000000509</v>
      </c>
      <c r="AD11" s="8">
        <f t="shared" si="2"/>
        <v>-4.3845625983639979E-3</v>
      </c>
    </row>
    <row r="12" spans="1:30" x14ac:dyDescent="0.4">
      <c r="A12" s="46"/>
      <c r="B12" s="205" t="s">
        <v>43</v>
      </c>
      <c r="C12" s="174">
        <v>17946.560000000001</v>
      </c>
      <c r="D12" s="174">
        <v>1495.5466666666666</v>
      </c>
      <c r="E12" s="206" t="s">
        <v>19</v>
      </c>
      <c r="F12" s="174">
        <v>1017.67</v>
      </c>
      <c r="G12" s="174">
        <v>378.02</v>
      </c>
      <c r="H12" s="174">
        <v>597.89</v>
      </c>
      <c r="I12" s="174">
        <v>1055.68</v>
      </c>
      <c r="J12" s="174">
        <v>1830.85</v>
      </c>
      <c r="K12" s="174">
        <v>1553.1</v>
      </c>
      <c r="L12" s="174">
        <v>548.46</v>
      </c>
      <c r="M12" s="174">
        <v>953.92</v>
      </c>
      <c r="N12" s="174">
        <v>1263.19</v>
      </c>
      <c r="O12" s="174">
        <v>2569.96</v>
      </c>
      <c r="P12" s="174">
        <v>5215.87</v>
      </c>
      <c r="Q12" s="174">
        <v>11446.37</v>
      </c>
      <c r="R12" s="174">
        <v>28430.98</v>
      </c>
      <c r="S12" s="50"/>
      <c r="T12" s="174">
        <v>5485.17</v>
      </c>
      <c r="U12" s="174">
        <v>5766.86</v>
      </c>
      <c r="V12" s="174">
        <v>10933.87</v>
      </c>
      <c r="W12" s="174">
        <v>1535.61</v>
      </c>
      <c r="X12" s="174">
        <v>2059.21</v>
      </c>
      <c r="Y12" s="174">
        <v>2742.83</v>
      </c>
      <c r="Z12" s="174">
        <v>28523.55</v>
      </c>
      <c r="AA12" s="48"/>
      <c r="AB12" s="21">
        <f t="shared" si="0"/>
        <v>6433.2100000000009</v>
      </c>
      <c r="AC12" s="224">
        <f t="shared" si="1"/>
        <v>22090.339999999997</v>
      </c>
      <c r="AD12" s="8">
        <f t="shared" si="2"/>
        <v>3.4337974354948764</v>
      </c>
    </row>
    <row r="13" spans="1:30" x14ac:dyDescent="0.4">
      <c r="A13" s="46" t="s">
        <v>40</v>
      </c>
      <c r="B13" s="205" t="s">
        <v>53</v>
      </c>
      <c r="C13" s="175">
        <v>0.55000000000000004</v>
      </c>
      <c r="D13" s="175">
        <v>4.5833333333300003E-2</v>
      </c>
      <c r="E13" s="206" t="s">
        <v>19</v>
      </c>
      <c r="F13" s="175">
        <v>100.05</v>
      </c>
      <c r="G13" s="175">
        <v>0.04</v>
      </c>
      <c r="H13" s="175">
        <v>0.05</v>
      </c>
      <c r="I13" s="175">
        <v>0.04</v>
      </c>
      <c r="J13" s="175">
        <v>0.05</v>
      </c>
      <c r="K13" s="175">
        <v>0.04</v>
      </c>
      <c r="L13" s="175">
        <v>0.02</v>
      </c>
      <c r="M13" s="175">
        <v>0.02</v>
      </c>
      <c r="N13" s="175">
        <v>0.01</v>
      </c>
      <c r="O13" s="175">
        <v>0.02</v>
      </c>
      <c r="P13" s="175">
        <v>0.02</v>
      </c>
      <c r="Q13" s="175">
        <v>0.02</v>
      </c>
      <c r="R13" s="175">
        <v>100.38</v>
      </c>
      <c r="S13" s="21"/>
      <c r="T13" s="175">
        <v>0.02</v>
      </c>
      <c r="U13" s="175">
        <v>0.02</v>
      </c>
      <c r="V13" s="175">
        <v>0.02</v>
      </c>
      <c r="W13" s="175">
        <v>46755.67</v>
      </c>
      <c r="X13" s="175">
        <v>0.02</v>
      </c>
      <c r="Y13" s="175">
        <v>0.02</v>
      </c>
      <c r="Z13" s="175">
        <v>46755.77</v>
      </c>
      <c r="AA13" s="21"/>
      <c r="AB13" s="216">
        <f t="shared" si="0"/>
        <v>100.27000000000001</v>
      </c>
      <c r="AC13" s="11">
        <f t="shared" si="1"/>
        <v>46655.5</v>
      </c>
      <c r="AD13" s="12">
        <f t="shared" si="2"/>
        <v>465.29869352747579</v>
      </c>
    </row>
    <row r="14" spans="1:30" x14ac:dyDescent="0.4">
      <c r="A14" s="46" t="s">
        <v>42</v>
      </c>
      <c r="B14" s="205" t="s">
        <v>54</v>
      </c>
      <c r="C14" s="175">
        <v>151658.4</v>
      </c>
      <c r="D14" s="175">
        <v>12638.2</v>
      </c>
      <c r="E14" s="206" t="s">
        <v>19</v>
      </c>
      <c r="F14" s="175">
        <v>1879.1</v>
      </c>
      <c r="G14" s="175">
        <v>21178.89</v>
      </c>
      <c r="H14" s="175">
        <v>56912.32</v>
      </c>
      <c r="I14" s="175">
        <v>11990</v>
      </c>
      <c r="J14" s="175">
        <v>4900.8</v>
      </c>
      <c r="K14" s="175">
        <v>4690.53</v>
      </c>
      <c r="L14" s="175">
        <v>11508.58</v>
      </c>
      <c r="M14" s="175">
        <v>1247.82</v>
      </c>
      <c r="N14" s="175">
        <v>1865.71</v>
      </c>
      <c r="O14" s="175">
        <v>2877.48</v>
      </c>
      <c r="P14" s="175">
        <v>5594.64</v>
      </c>
      <c r="Q14" s="175">
        <v>12878.89</v>
      </c>
      <c r="R14" s="175">
        <v>137524.76</v>
      </c>
      <c r="S14" s="21"/>
      <c r="T14" s="175">
        <v>5705.09</v>
      </c>
      <c r="U14" s="175">
        <v>69546.880000000005</v>
      </c>
      <c r="V14" s="175">
        <v>14043.89</v>
      </c>
      <c r="W14" s="175">
        <v>51237.68</v>
      </c>
      <c r="X14" s="175">
        <v>2745.23</v>
      </c>
      <c r="Y14" s="175">
        <v>10340.780000000001</v>
      </c>
      <c r="Z14" s="175">
        <v>153619.54999999999</v>
      </c>
      <c r="AA14" s="21"/>
      <c r="AB14" s="51">
        <f>SUM(AB8:AB13)</f>
        <v>101551.64000000001</v>
      </c>
      <c r="AC14" s="51">
        <f>SUM(AC8:AC13)</f>
        <v>52067.909999999996</v>
      </c>
      <c r="AD14" s="12">
        <f t="shared" ref="AD14:AD62" si="3">+AC14/AB14</f>
        <v>0.51272347743473157</v>
      </c>
    </row>
    <row r="15" spans="1:30" x14ac:dyDescent="0.4">
      <c r="A15" s="46"/>
      <c r="B15" s="205"/>
      <c r="C15" s="173"/>
      <c r="D15" s="173"/>
      <c r="E15" s="206" t="s">
        <v>19</v>
      </c>
      <c r="F15" s="173"/>
      <c r="G15" s="173"/>
      <c r="H15" s="173"/>
      <c r="I15" s="173"/>
      <c r="J15" s="173"/>
      <c r="K15" s="173"/>
      <c r="L15" s="173"/>
      <c r="M15" s="173"/>
      <c r="N15" s="173"/>
      <c r="O15" s="173"/>
      <c r="P15" s="173"/>
      <c r="Q15" s="173"/>
      <c r="R15" s="173"/>
      <c r="S15" s="50"/>
      <c r="T15" s="173"/>
      <c r="U15" s="173"/>
      <c r="V15" s="173"/>
      <c r="W15" s="173"/>
      <c r="X15" s="173"/>
      <c r="Y15" s="173"/>
      <c r="Z15" s="173"/>
      <c r="AA15" s="48"/>
      <c r="AB15" s="48"/>
      <c r="AC15" s="4"/>
      <c r="AD15" s="5"/>
    </row>
    <row r="16" spans="1:30" x14ac:dyDescent="0.4">
      <c r="A16" s="46" t="s">
        <v>52</v>
      </c>
      <c r="B16" s="205" t="s">
        <v>55</v>
      </c>
      <c r="C16" s="173"/>
      <c r="D16" s="173"/>
      <c r="E16" s="206" t="s">
        <v>19</v>
      </c>
      <c r="F16" s="173"/>
      <c r="G16" s="173"/>
      <c r="H16" s="173"/>
      <c r="I16" s="173"/>
      <c r="J16" s="173"/>
      <c r="K16" s="173"/>
      <c r="L16" s="173"/>
      <c r="M16" s="173"/>
      <c r="N16" s="173"/>
      <c r="O16" s="173"/>
      <c r="P16" s="173"/>
      <c r="Q16" s="173"/>
      <c r="R16" s="173"/>
      <c r="S16" s="21"/>
      <c r="T16" s="173"/>
      <c r="U16" s="173"/>
      <c r="V16" s="173"/>
      <c r="W16" s="173"/>
      <c r="X16" s="173"/>
      <c r="Y16" s="173"/>
      <c r="Z16" s="173"/>
      <c r="AA16" s="48"/>
      <c r="AB16" s="48"/>
      <c r="AC16" s="4"/>
      <c r="AD16" s="5"/>
    </row>
    <row r="17" spans="1:30" x14ac:dyDescent="0.4">
      <c r="A17" s="46"/>
      <c r="B17" s="205" t="s">
        <v>56</v>
      </c>
      <c r="C17" s="174">
        <v>276364.33</v>
      </c>
      <c r="D17" s="174">
        <v>23030.360833333332</v>
      </c>
      <c r="E17" s="206" t="s">
        <v>19</v>
      </c>
      <c r="F17" s="174">
        <v>21783.84</v>
      </c>
      <c r="G17" s="174">
        <v>21783.84</v>
      </c>
      <c r="H17" s="174">
        <v>21783.84</v>
      </c>
      <c r="I17" s="174">
        <v>22876.240000000002</v>
      </c>
      <c r="J17" s="174">
        <v>22315.61</v>
      </c>
      <c r="K17" s="174">
        <v>21963.919999999998</v>
      </c>
      <c r="L17" s="174">
        <v>21948.25</v>
      </c>
      <c r="M17" s="174">
        <v>21920.21</v>
      </c>
      <c r="N17" s="174">
        <v>21920.21</v>
      </c>
      <c r="O17" s="174">
        <v>21920.21</v>
      </c>
      <c r="P17" s="174">
        <v>21918.81</v>
      </c>
      <c r="Q17" s="174">
        <v>21946.83</v>
      </c>
      <c r="R17" s="174">
        <v>264081.81</v>
      </c>
      <c r="S17" s="21"/>
      <c r="T17" s="174">
        <v>21946.83</v>
      </c>
      <c r="U17" s="174">
        <v>21946.83</v>
      </c>
      <c r="V17" s="174">
        <v>21918.79</v>
      </c>
      <c r="W17" s="174">
        <v>23165.22</v>
      </c>
      <c r="X17" s="174">
        <v>22792.99</v>
      </c>
      <c r="Y17" s="174">
        <v>22224.86</v>
      </c>
      <c r="Z17" s="174">
        <v>133995.51999999999</v>
      </c>
      <c r="AA17" s="20"/>
      <c r="AB17" s="21">
        <f>SUM(F17:K17)</f>
        <v>132507.29</v>
      </c>
      <c r="AC17" s="224">
        <f t="shared" ref="AC17" si="4">+Z17-AB17</f>
        <v>1488.2299999999814</v>
      </c>
      <c r="AD17" s="8">
        <f t="shared" si="3"/>
        <v>1.1231306594527601E-2</v>
      </c>
    </row>
    <row r="18" spans="1:30" x14ac:dyDescent="0.4">
      <c r="A18" s="46"/>
      <c r="B18" s="205" t="s">
        <v>58</v>
      </c>
      <c r="C18" s="174">
        <v>41159.53</v>
      </c>
      <c r="D18" s="174">
        <v>3429.9608333333331</v>
      </c>
      <c r="E18" s="206" t="s">
        <v>19</v>
      </c>
      <c r="F18" s="174">
        <v>3125.81</v>
      </c>
      <c r="G18" s="174">
        <v>3673.44</v>
      </c>
      <c r="H18" s="174">
        <v>3394.53</v>
      </c>
      <c r="I18" s="174">
        <v>2834.19</v>
      </c>
      <c r="J18" s="174">
        <v>2862.07</v>
      </c>
      <c r="K18" s="174">
        <v>2663.74</v>
      </c>
      <c r="L18" s="174">
        <v>2479.1</v>
      </c>
      <c r="M18" s="174">
        <v>3041.27</v>
      </c>
      <c r="N18" s="174">
        <v>2547.91</v>
      </c>
      <c r="O18" s="174">
        <v>2479.4899999999998</v>
      </c>
      <c r="P18" s="174">
        <v>2915.62</v>
      </c>
      <c r="Q18" s="174">
        <v>2507.4299999999998</v>
      </c>
      <c r="R18" s="174">
        <v>34524.6</v>
      </c>
      <c r="S18" s="50"/>
      <c r="T18" s="174">
        <v>3023.15</v>
      </c>
      <c r="U18" s="174">
        <v>2983.71</v>
      </c>
      <c r="V18" s="174">
        <v>2756.07</v>
      </c>
      <c r="W18" s="174">
        <v>2465.56</v>
      </c>
      <c r="X18" s="174">
        <v>4831.38</v>
      </c>
      <c r="Y18" s="174">
        <v>2759.16</v>
      </c>
      <c r="Z18" s="174">
        <v>18819.03</v>
      </c>
      <c r="AA18" s="20"/>
      <c r="AB18" s="21">
        <f>SUM(F18:K18)</f>
        <v>18553.78</v>
      </c>
      <c r="AC18" s="224">
        <f t="shared" ref="AC18:AC21" si="5">+Z18-AB18</f>
        <v>265.25</v>
      </c>
      <c r="AD18" s="8">
        <f t="shared" ref="AD18:AD21" si="6">+AC18/AB18</f>
        <v>1.4296278170809399E-2</v>
      </c>
    </row>
    <row r="19" spans="1:30" x14ac:dyDescent="0.4">
      <c r="A19" s="46"/>
      <c r="B19" s="205" t="s">
        <v>59</v>
      </c>
      <c r="C19" s="174">
        <v>26288.35</v>
      </c>
      <c r="D19" s="174">
        <v>2190.6958333333332</v>
      </c>
      <c r="E19" s="206" t="s">
        <v>19</v>
      </c>
      <c r="F19" s="174">
        <v>204.95</v>
      </c>
      <c r="G19" s="174">
        <v>235</v>
      </c>
      <c r="H19" s="174">
        <v>235</v>
      </c>
      <c r="I19" s="174">
        <v>1804.9</v>
      </c>
      <c r="J19" s="174">
        <v>225</v>
      </c>
      <c r="K19" s="174">
        <v>235</v>
      </c>
      <c r="L19" s="174">
        <v>692.64</v>
      </c>
      <c r="M19" s="174">
        <v>225</v>
      </c>
      <c r="N19" s="174">
        <v>225</v>
      </c>
      <c r="O19" s="174">
        <v>305</v>
      </c>
      <c r="P19" s="174">
        <v>416.77</v>
      </c>
      <c r="Q19" s="174">
        <v>1231</v>
      </c>
      <c r="R19" s="174">
        <v>6035.26</v>
      </c>
      <c r="S19" s="50"/>
      <c r="T19" s="174">
        <v>235</v>
      </c>
      <c r="U19" s="174">
        <v>235</v>
      </c>
      <c r="V19" s="174">
        <v>235</v>
      </c>
      <c r="W19" s="174">
        <v>235</v>
      </c>
      <c r="X19" s="174">
        <v>3482.23</v>
      </c>
      <c r="Y19" s="174">
        <v>235</v>
      </c>
      <c r="Z19" s="174">
        <v>4657.2299999999996</v>
      </c>
      <c r="AA19" s="20"/>
      <c r="AB19" s="21">
        <f>SUM(F19:K19)</f>
        <v>2939.8500000000004</v>
      </c>
      <c r="AC19" s="224">
        <f t="shared" si="5"/>
        <v>1717.3799999999992</v>
      </c>
      <c r="AD19" s="8">
        <f t="shared" si="6"/>
        <v>0.58417266187050321</v>
      </c>
    </row>
    <row r="20" spans="1:30" x14ac:dyDescent="0.4">
      <c r="A20" s="46"/>
      <c r="B20" s="205" t="s">
        <v>60</v>
      </c>
      <c r="C20" s="174">
        <v>9033.23</v>
      </c>
      <c r="D20" s="174">
        <v>752.76916666666671</v>
      </c>
      <c r="E20" s="206" t="s">
        <v>19</v>
      </c>
      <c r="F20" s="174">
        <v>82.58</v>
      </c>
      <c r="G20" s="174">
        <v>56.49</v>
      </c>
      <c r="H20" s="174">
        <v>5058.17</v>
      </c>
      <c r="I20" s="174">
        <v>1482.03</v>
      </c>
      <c r="J20" s="174">
        <v>58.95</v>
      </c>
      <c r="K20" s="174">
        <v>82.73</v>
      </c>
      <c r="L20" s="174">
        <v>157.62</v>
      </c>
      <c r="M20" s="174">
        <v>277.08999999999997</v>
      </c>
      <c r="N20" s="174">
        <v>42.95</v>
      </c>
      <c r="O20" s="174">
        <v>144.71</v>
      </c>
      <c r="P20" s="174">
        <v>-490.63</v>
      </c>
      <c r="Q20" s="174">
        <v>126.62</v>
      </c>
      <c r="R20" s="174">
        <v>7079.31</v>
      </c>
      <c r="S20" s="21"/>
      <c r="T20" s="174">
        <v>164.91</v>
      </c>
      <c r="U20" s="174">
        <v>1198.21</v>
      </c>
      <c r="V20" s="174">
        <v>2615.83</v>
      </c>
      <c r="W20" s="174">
        <v>129.4</v>
      </c>
      <c r="X20" s="174">
        <v>140.15</v>
      </c>
      <c r="Y20" s="174">
        <v>139.77000000000001</v>
      </c>
      <c r="Z20" s="174">
        <v>4388.2700000000004</v>
      </c>
      <c r="AA20" s="20"/>
      <c r="AB20" s="21">
        <f>SUM(F20:K20)</f>
        <v>6820.9499999999989</v>
      </c>
      <c r="AC20" s="224">
        <f t="shared" si="5"/>
        <v>-2432.6799999999985</v>
      </c>
      <c r="AD20" s="8">
        <f t="shared" si="6"/>
        <v>-0.35664826747007367</v>
      </c>
    </row>
    <row r="21" spans="1:30" x14ac:dyDescent="0.4">
      <c r="A21" s="46"/>
      <c r="B21" s="205" t="s">
        <v>61</v>
      </c>
      <c r="C21" s="175">
        <v>1176.25</v>
      </c>
      <c r="D21" s="175">
        <v>98.0208333333333</v>
      </c>
      <c r="E21" s="206" t="s">
        <v>19</v>
      </c>
      <c r="F21" s="175"/>
      <c r="G21" s="175"/>
      <c r="H21" s="175"/>
      <c r="I21" s="175"/>
      <c r="J21" s="175"/>
      <c r="K21" s="175"/>
      <c r="L21" s="175"/>
      <c r="M21" s="175"/>
      <c r="N21" s="175"/>
      <c r="O21" s="175"/>
      <c r="P21" s="175"/>
      <c r="Q21" s="175"/>
      <c r="R21" s="175"/>
      <c r="S21" s="21"/>
      <c r="T21" s="175"/>
      <c r="U21" s="175"/>
      <c r="V21" s="175"/>
      <c r="W21" s="175"/>
      <c r="X21" s="175"/>
      <c r="Y21" s="175"/>
      <c r="Z21" s="175"/>
      <c r="AA21" s="21"/>
      <c r="AB21" s="216">
        <f>SUM(F21:K21)</f>
        <v>0</v>
      </c>
      <c r="AC21" s="11">
        <f t="shared" si="5"/>
        <v>0</v>
      </c>
      <c r="AD21" s="12" t="e">
        <f t="shared" si="6"/>
        <v>#DIV/0!</v>
      </c>
    </row>
    <row r="22" spans="1:30" x14ac:dyDescent="0.4">
      <c r="A22" s="46"/>
      <c r="B22" s="205" t="s">
        <v>62</v>
      </c>
      <c r="C22" s="175">
        <v>354021.69</v>
      </c>
      <c r="D22" s="175">
        <v>29501.807499999999</v>
      </c>
      <c r="E22" s="206" t="s">
        <v>19</v>
      </c>
      <c r="F22" s="175">
        <v>25197.18</v>
      </c>
      <c r="G22" s="175">
        <v>25748.77</v>
      </c>
      <c r="H22" s="175">
        <v>30471.54</v>
      </c>
      <c r="I22" s="175">
        <v>28997.360000000001</v>
      </c>
      <c r="J22" s="175">
        <v>25461.63</v>
      </c>
      <c r="K22" s="175">
        <v>24945.39</v>
      </c>
      <c r="L22" s="175">
        <v>25277.61</v>
      </c>
      <c r="M22" s="175">
        <v>25463.57</v>
      </c>
      <c r="N22" s="175">
        <v>24736.07</v>
      </c>
      <c r="O22" s="175">
        <v>24849.41</v>
      </c>
      <c r="P22" s="175">
        <v>24760.57</v>
      </c>
      <c r="Q22" s="175">
        <v>25811.88</v>
      </c>
      <c r="R22" s="175">
        <v>311720.98</v>
      </c>
      <c r="S22" s="21"/>
      <c r="T22" s="175">
        <v>25369.89</v>
      </c>
      <c r="U22" s="175">
        <v>26363.75</v>
      </c>
      <c r="V22" s="175">
        <v>27525.69</v>
      </c>
      <c r="W22" s="175">
        <v>25995.18</v>
      </c>
      <c r="X22" s="175">
        <v>31246.75</v>
      </c>
      <c r="Y22" s="175">
        <v>25358.79</v>
      </c>
      <c r="Z22" s="175">
        <v>161860.04999999999</v>
      </c>
      <c r="AA22" s="21"/>
      <c r="AB22" s="51">
        <f>SUM(AB17:AB21)</f>
        <v>160821.87000000002</v>
      </c>
      <c r="AC22" s="51">
        <f>SUM(AC17:AC21)</f>
        <v>1038.1799999999821</v>
      </c>
      <c r="AD22" s="12">
        <f t="shared" si="3"/>
        <v>6.4554652921271338E-3</v>
      </c>
    </row>
    <row r="23" spans="1:30" x14ac:dyDescent="0.4">
      <c r="A23" s="46"/>
      <c r="B23" s="205"/>
      <c r="C23" s="173"/>
      <c r="D23" s="173"/>
      <c r="E23" s="206" t="s">
        <v>19</v>
      </c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21"/>
      <c r="T23" s="173"/>
      <c r="U23" s="173"/>
      <c r="V23" s="173"/>
      <c r="W23" s="173"/>
      <c r="X23" s="173"/>
      <c r="Y23" s="173"/>
      <c r="Z23" s="173"/>
      <c r="AA23" s="48"/>
      <c r="AB23" s="48"/>
      <c r="AC23" s="4"/>
      <c r="AD23" s="5"/>
    </row>
    <row r="24" spans="1:30" x14ac:dyDescent="0.4">
      <c r="A24" s="46"/>
      <c r="B24" s="205" t="s">
        <v>63</v>
      </c>
      <c r="C24" s="173"/>
      <c r="D24" s="173"/>
      <c r="E24" s="206" t="s">
        <v>19</v>
      </c>
      <c r="F24" s="173"/>
      <c r="G24" s="173"/>
      <c r="H24" s="173"/>
      <c r="I24" s="173"/>
      <c r="J24" s="173"/>
      <c r="K24" s="173"/>
      <c r="L24" s="173"/>
      <c r="M24" s="173"/>
      <c r="N24" s="173"/>
      <c r="O24" s="173"/>
      <c r="P24" s="173"/>
      <c r="Q24" s="173"/>
      <c r="R24" s="173"/>
      <c r="S24" s="21"/>
      <c r="T24" s="173"/>
      <c r="U24" s="173"/>
      <c r="V24" s="173"/>
      <c r="W24" s="173"/>
      <c r="X24" s="173"/>
      <c r="Y24" s="173"/>
      <c r="Z24" s="173"/>
      <c r="AA24" s="21"/>
      <c r="AB24" s="48"/>
      <c r="AC24" s="4"/>
      <c r="AD24" s="5"/>
    </row>
    <row r="25" spans="1:30" s="37" customFormat="1" x14ac:dyDescent="0.4">
      <c r="A25" s="52"/>
      <c r="B25" s="205" t="s">
        <v>65</v>
      </c>
      <c r="C25" s="175">
        <v>-208560</v>
      </c>
      <c r="D25" s="175">
        <v>-17380</v>
      </c>
      <c r="E25" s="206" t="s">
        <v>19</v>
      </c>
      <c r="F25" s="175">
        <v>-17380</v>
      </c>
      <c r="G25" s="175">
        <v>-17380</v>
      </c>
      <c r="H25" s="175">
        <v>-17380</v>
      </c>
      <c r="I25" s="175">
        <v>-17380</v>
      </c>
      <c r="J25" s="175">
        <v>-17380</v>
      </c>
      <c r="K25" s="175">
        <v>-17380</v>
      </c>
      <c r="L25" s="175">
        <v>-17380</v>
      </c>
      <c r="M25" s="175">
        <v>-17380</v>
      </c>
      <c r="N25" s="175">
        <v>-17380</v>
      </c>
      <c r="O25" s="175">
        <v>-17380</v>
      </c>
      <c r="P25" s="175">
        <v>-17380</v>
      </c>
      <c r="Q25" s="175">
        <v>-17380</v>
      </c>
      <c r="R25" s="175">
        <v>-208560</v>
      </c>
      <c r="S25" s="50"/>
      <c r="T25" s="175">
        <v>-17380</v>
      </c>
      <c r="U25" s="175">
        <v>-17380</v>
      </c>
      <c r="V25" s="175">
        <v>-17380</v>
      </c>
      <c r="W25" s="175">
        <v>-17380</v>
      </c>
      <c r="X25" s="175">
        <v>-17380</v>
      </c>
      <c r="Y25" s="175">
        <v>-17380</v>
      </c>
      <c r="Z25" s="175">
        <v>-104280</v>
      </c>
      <c r="AA25" s="21"/>
      <c r="AB25" s="51">
        <f>SUM(F25:K25)</f>
        <v>-104280</v>
      </c>
      <c r="AC25" s="11">
        <f>+Z25-AB25</f>
        <v>0</v>
      </c>
      <c r="AD25" s="5">
        <f t="shared" si="3"/>
        <v>0</v>
      </c>
    </row>
    <row r="26" spans="1:30" x14ac:dyDescent="0.4">
      <c r="A26" s="46" t="s">
        <v>64</v>
      </c>
      <c r="B26" s="205" t="s">
        <v>70</v>
      </c>
      <c r="C26" s="175">
        <v>-208560</v>
      </c>
      <c r="D26" s="175">
        <v>-17380</v>
      </c>
      <c r="E26" s="206" t="s">
        <v>19</v>
      </c>
      <c r="F26" s="175">
        <v>-17380</v>
      </c>
      <c r="G26" s="175">
        <v>-17380</v>
      </c>
      <c r="H26" s="175">
        <v>-17380</v>
      </c>
      <c r="I26" s="175">
        <v>-17380</v>
      </c>
      <c r="J26" s="175">
        <v>-17380</v>
      </c>
      <c r="K26" s="175">
        <v>-17380</v>
      </c>
      <c r="L26" s="175">
        <v>-17380</v>
      </c>
      <c r="M26" s="175">
        <v>-17380</v>
      </c>
      <c r="N26" s="175">
        <v>-17380</v>
      </c>
      <c r="O26" s="175">
        <v>-17380</v>
      </c>
      <c r="P26" s="175">
        <v>-17380</v>
      </c>
      <c r="Q26" s="175">
        <v>-17380</v>
      </c>
      <c r="R26" s="175">
        <v>-208560</v>
      </c>
      <c r="S26" s="50"/>
      <c r="T26" s="175">
        <v>-17380</v>
      </c>
      <c r="U26" s="175">
        <v>-17380</v>
      </c>
      <c r="V26" s="175">
        <v>-17380</v>
      </c>
      <c r="W26" s="175">
        <v>-17380</v>
      </c>
      <c r="X26" s="175">
        <v>-17380</v>
      </c>
      <c r="Y26" s="175">
        <v>-17380</v>
      </c>
      <c r="Z26" s="175">
        <v>-104280</v>
      </c>
      <c r="AA26" s="48"/>
      <c r="AB26" s="51">
        <f>SUM(AB25)</f>
        <v>-104280</v>
      </c>
      <c r="AC26" s="51">
        <f>SUM(AC25)</f>
        <v>0</v>
      </c>
      <c r="AD26" s="10">
        <f t="shared" si="3"/>
        <v>0</v>
      </c>
    </row>
    <row r="27" spans="1:30" x14ac:dyDescent="0.4">
      <c r="A27" s="46"/>
      <c r="B27" s="205"/>
      <c r="C27" s="173"/>
      <c r="D27" s="173"/>
      <c r="E27" s="206" t="s">
        <v>19</v>
      </c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173"/>
      <c r="Q27" s="173"/>
      <c r="R27" s="173"/>
      <c r="S27" s="21"/>
      <c r="T27" s="173"/>
      <c r="U27" s="173"/>
      <c r="V27" s="173"/>
      <c r="W27" s="173"/>
      <c r="X27" s="173"/>
      <c r="Y27" s="173"/>
      <c r="Z27" s="173"/>
      <c r="AA27" s="21"/>
      <c r="AB27" s="48"/>
      <c r="AC27" s="4"/>
      <c r="AD27" s="5"/>
    </row>
    <row r="28" spans="1:30" x14ac:dyDescent="0.4">
      <c r="A28" s="46"/>
      <c r="B28" s="205" t="s">
        <v>71</v>
      </c>
      <c r="C28" s="175">
        <v>145461.69</v>
      </c>
      <c r="D28" s="175">
        <v>12121.807500000001</v>
      </c>
      <c r="E28" s="206" t="s">
        <v>19</v>
      </c>
      <c r="F28" s="175">
        <v>7817.18</v>
      </c>
      <c r="G28" s="175">
        <v>8368.77</v>
      </c>
      <c r="H28" s="175">
        <v>13091.54</v>
      </c>
      <c r="I28" s="175">
        <v>11617.36</v>
      </c>
      <c r="J28" s="175">
        <v>8081.63</v>
      </c>
      <c r="K28" s="175">
        <v>7565.39</v>
      </c>
      <c r="L28" s="175">
        <v>7897.61</v>
      </c>
      <c r="M28" s="175">
        <v>8083.57</v>
      </c>
      <c r="N28" s="175">
        <v>7356.07</v>
      </c>
      <c r="O28" s="175">
        <v>7469.41</v>
      </c>
      <c r="P28" s="175">
        <v>7380.57</v>
      </c>
      <c r="Q28" s="175">
        <v>8431.8799999999992</v>
      </c>
      <c r="R28" s="175">
        <v>103160.98</v>
      </c>
      <c r="S28" s="21"/>
      <c r="T28" s="175">
        <v>7989.89</v>
      </c>
      <c r="U28" s="175">
        <v>8983.75</v>
      </c>
      <c r="V28" s="175">
        <v>10145.69</v>
      </c>
      <c r="W28" s="175">
        <v>8615.18</v>
      </c>
      <c r="X28" s="175">
        <v>13866.75</v>
      </c>
      <c r="Y28" s="175">
        <v>7978.79</v>
      </c>
      <c r="Z28" s="175">
        <v>57580.05</v>
      </c>
      <c r="AA28" s="21"/>
      <c r="AB28" s="51">
        <f>SUM(F28:K28)</f>
        <v>56541.87</v>
      </c>
      <c r="AC28" s="11">
        <f>+Z28-AB28</f>
        <v>1038.1800000000003</v>
      </c>
      <c r="AD28" s="12">
        <f t="shared" si="3"/>
        <v>1.8361260425238859E-2</v>
      </c>
    </row>
    <row r="29" spans="1:30" x14ac:dyDescent="0.4">
      <c r="A29" s="46"/>
      <c r="B29" s="205"/>
      <c r="C29" s="173"/>
      <c r="D29" s="173"/>
      <c r="E29" s="206" t="s">
        <v>19</v>
      </c>
      <c r="F29" s="173"/>
      <c r="G29" s="173"/>
      <c r="H29" s="173"/>
      <c r="I29" s="173"/>
      <c r="J29" s="173"/>
      <c r="K29" s="173"/>
      <c r="L29" s="173"/>
      <c r="M29" s="173"/>
      <c r="N29" s="173"/>
      <c r="O29" s="173"/>
      <c r="P29" s="173"/>
      <c r="Q29" s="173"/>
      <c r="R29" s="173"/>
      <c r="S29" s="21"/>
      <c r="T29" s="176"/>
      <c r="U29" s="176"/>
      <c r="V29" s="176"/>
      <c r="W29" s="176"/>
      <c r="X29" s="176"/>
      <c r="Y29" s="176"/>
      <c r="Z29" s="176"/>
      <c r="AA29" s="21"/>
      <c r="AB29" s="48"/>
      <c r="AC29" s="4"/>
      <c r="AD29" s="5"/>
    </row>
    <row r="30" spans="1:30" ht="15" thickBot="1" x14ac:dyDescent="0.45">
      <c r="A30" s="46"/>
      <c r="B30" s="205" t="s">
        <v>72</v>
      </c>
      <c r="C30" s="184">
        <v>6196.71</v>
      </c>
      <c r="D30" s="184">
        <v>516.39250000000004</v>
      </c>
      <c r="E30" s="206" t="s">
        <v>19</v>
      </c>
      <c r="F30" s="184">
        <v>-5938.08</v>
      </c>
      <c r="G30" s="184">
        <v>12810.12</v>
      </c>
      <c r="H30" s="184">
        <v>43820.78</v>
      </c>
      <c r="I30" s="184">
        <v>372.64</v>
      </c>
      <c r="J30" s="184">
        <v>-3180.83</v>
      </c>
      <c r="K30" s="184">
        <v>-2874.86</v>
      </c>
      <c r="L30" s="184">
        <v>3610.97</v>
      </c>
      <c r="M30" s="184">
        <v>-6835.75</v>
      </c>
      <c r="N30" s="184">
        <v>-5490.36</v>
      </c>
      <c r="O30" s="184">
        <v>-4591.93</v>
      </c>
      <c r="P30" s="184">
        <v>-1785.93</v>
      </c>
      <c r="Q30" s="184">
        <v>4447.01</v>
      </c>
      <c r="R30" s="184">
        <v>34363.78</v>
      </c>
      <c r="S30" s="50"/>
      <c r="T30" s="177">
        <v>-2284.8000000000002</v>
      </c>
      <c r="U30" s="177">
        <v>60563.13</v>
      </c>
      <c r="V30" s="177">
        <v>3898.2</v>
      </c>
      <c r="W30" s="177">
        <v>42622.5</v>
      </c>
      <c r="X30" s="177">
        <v>-11121.52</v>
      </c>
      <c r="Y30" s="177">
        <v>2361.9899999999998</v>
      </c>
      <c r="Z30" s="177">
        <v>96039.5</v>
      </c>
      <c r="AA30" s="21"/>
      <c r="AB30" s="53">
        <f>SUM(F30:K30)</f>
        <v>45009.77</v>
      </c>
      <c r="AC30" s="13">
        <f>+Z30-AB30</f>
        <v>51029.73</v>
      </c>
      <c r="AD30" s="14">
        <f t="shared" si="3"/>
        <v>1.1337478507444052</v>
      </c>
    </row>
    <row r="31" spans="1:30" ht="15" thickTop="1" x14ac:dyDescent="0.4">
      <c r="A31" s="46"/>
      <c r="B31" s="205"/>
      <c r="C31" s="173"/>
      <c r="D31" s="173"/>
      <c r="E31" s="206" t="s">
        <v>19</v>
      </c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S31" s="50"/>
      <c r="T31" s="173"/>
      <c r="U31" s="173"/>
      <c r="V31" s="173"/>
      <c r="W31" s="173"/>
      <c r="X31" s="173"/>
      <c r="Y31" s="173"/>
      <c r="Z31" s="173"/>
      <c r="AA31" s="21"/>
      <c r="AB31" s="48"/>
      <c r="AC31" s="4"/>
      <c r="AD31" s="5"/>
    </row>
    <row r="32" spans="1:30" x14ac:dyDescent="0.4">
      <c r="A32" s="46" t="s">
        <v>77</v>
      </c>
      <c r="B32" s="205" t="s">
        <v>73</v>
      </c>
      <c r="C32" s="173"/>
      <c r="D32" s="173"/>
      <c r="E32" s="206" t="s">
        <v>19</v>
      </c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  <c r="R32" s="173"/>
      <c r="S32" s="21"/>
      <c r="T32" s="173"/>
      <c r="U32" s="173"/>
      <c r="V32" s="173"/>
      <c r="W32" s="173"/>
      <c r="X32" s="173"/>
      <c r="Y32" s="173"/>
      <c r="Z32" s="173"/>
      <c r="AA32" s="21"/>
      <c r="AB32" s="48"/>
      <c r="AC32" s="4"/>
      <c r="AD32" s="5"/>
    </row>
    <row r="33" spans="1:30" x14ac:dyDescent="0.4">
      <c r="A33" s="46" t="s">
        <v>79</v>
      </c>
      <c r="B33" s="205" t="s">
        <v>74</v>
      </c>
      <c r="C33" s="173"/>
      <c r="D33" s="173"/>
      <c r="E33" s="206" t="s">
        <v>19</v>
      </c>
      <c r="F33" s="173"/>
      <c r="G33" s="173"/>
      <c r="H33" s="173"/>
      <c r="I33" s="173"/>
      <c r="J33" s="173"/>
      <c r="K33" s="173"/>
      <c r="L33" s="173"/>
      <c r="M33" s="173"/>
      <c r="N33" s="173"/>
      <c r="O33" s="173"/>
      <c r="P33" s="173"/>
      <c r="Q33" s="173"/>
      <c r="R33" s="173"/>
      <c r="S33" s="21"/>
      <c r="T33" s="173"/>
      <c r="U33" s="173"/>
      <c r="V33" s="173"/>
      <c r="W33" s="173"/>
      <c r="X33" s="173"/>
      <c r="Y33" s="173"/>
      <c r="Z33" s="173"/>
      <c r="AA33" s="48"/>
      <c r="AB33" s="48"/>
      <c r="AC33" s="4"/>
      <c r="AD33" s="5"/>
    </row>
    <row r="34" spans="1:30" x14ac:dyDescent="0.4">
      <c r="A34" s="46" t="s">
        <v>81</v>
      </c>
      <c r="B34" s="205" t="s">
        <v>76</v>
      </c>
      <c r="C34" s="174">
        <v>204699.4</v>
      </c>
      <c r="D34" s="174">
        <v>17058.283333333333</v>
      </c>
      <c r="E34" s="206" t="s">
        <v>19</v>
      </c>
      <c r="F34" s="174">
        <v>15806.71</v>
      </c>
      <c r="G34" s="174">
        <v>15806.71</v>
      </c>
      <c r="H34" s="174">
        <v>15806.71</v>
      </c>
      <c r="I34" s="174">
        <v>15806.71</v>
      </c>
      <c r="J34" s="174">
        <v>15806.71</v>
      </c>
      <c r="K34" s="174">
        <v>15806.71</v>
      </c>
      <c r="L34" s="174">
        <v>15806.71</v>
      </c>
      <c r="M34" s="174">
        <v>15806.71</v>
      </c>
      <c r="N34" s="174">
        <v>15806.71</v>
      </c>
      <c r="O34" s="174">
        <v>15806.71</v>
      </c>
      <c r="P34" s="174">
        <v>15806.71</v>
      </c>
      <c r="Q34" s="174">
        <v>15806.71</v>
      </c>
      <c r="R34" s="174">
        <v>189680.52</v>
      </c>
      <c r="S34" s="21"/>
      <c r="T34" s="174">
        <v>15806.71</v>
      </c>
      <c r="U34" s="174">
        <v>15806.71</v>
      </c>
      <c r="V34" s="174">
        <v>15806.71</v>
      </c>
      <c r="W34" s="174">
        <v>15806.71</v>
      </c>
      <c r="X34" s="174">
        <v>15806.71</v>
      </c>
      <c r="Y34" s="174">
        <v>15806.71</v>
      </c>
      <c r="Z34" s="174">
        <v>94840.26</v>
      </c>
      <c r="AA34" s="20"/>
      <c r="AB34" s="21">
        <f t="shared" ref="AB34:AB39" si="7">SUM(F34:K34)</f>
        <v>94840.25999999998</v>
      </c>
      <c r="AC34" s="224">
        <f>+Z34-AB34</f>
        <v>0</v>
      </c>
      <c r="AD34" s="8">
        <f t="shared" si="3"/>
        <v>0</v>
      </c>
    </row>
    <row r="35" spans="1:30" x14ac:dyDescent="0.4">
      <c r="A35" s="46" t="s">
        <v>83</v>
      </c>
      <c r="B35" s="205" t="s">
        <v>78</v>
      </c>
      <c r="C35" s="174">
        <v>15275.67</v>
      </c>
      <c r="D35" s="174">
        <v>1272.9725000000001</v>
      </c>
      <c r="E35" s="206" t="s">
        <v>19</v>
      </c>
      <c r="F35" s="174">
        <v>1209.23</v>
      </c>
      <c r="G35" s="174">
        <v>1209.23</v>
      </c>
      <c r="H35" s="174">
        <v>1209.23</v>
      </c>
      <c r="I35" s="174">
        <v>1209.23</v>
      </c>
      <c r="J35" s="174">
        <v>1209.23</v>
      </c>
      <c r="K35" s="174">
        <v>1209.23</v>
      </c>
      <c r="L35" s="174">
        <v>1209.23</v>
      </c>
      <c r="M35" s="174">
        <v>1209.23</v>
      </c>
      <c r="N35" s="174">
        <v>1209.23</v>
      </c>
      <c r="O35" s="174">
        <v>1209.23</v>
      </c>
      <c r="P35" s="174">
        <v>1209.23</v>
      </c>
      <c r="Q35" s="174">
        <v>1209.23</v>
      </c>
      <c r="R35" s="174">
        <v>14510.76</v>
      </c>
      <c r="S35" s="21"/>
      <c r="T35" s="174">
        <v>1209.23</v>
      </c>
      <c r="U35" s="174">
        <v>1209.23</v>
      </c>
      <c r="V35" s="174">
        <v>1209.23</v>
      </c>
      <c r="W35" s="174">
        <v>1209.23</v>
      </c>
      <c r="X35" s="174">
        <v>1209.23</v>
      </c>
      <c r="Y35" s="174">
        <v>1209.23</v>
      </c>
      <c r="Z35" s="174">
        <v>7255.38</v>
      </c>
      <c r="AA35" s="20"/>
      <c r="AB35" s="21">
        <f t="shared" si="7"/>
        <v>7255.3799999999992</v>
      </c>
      <c r="AC35" s="224">
        <f t="shared" ref="AC35:AC39" si="8">+Z35-AB35</f>
        <v>0</v>
      </c>
      <c r="AD35" s="8">
        <f t="shared" ref="AD35:AD39" si="9">+AC35/AB35</f>
        <v>0</v>
      </c>
    </row>
    <row r="36" spans="1:30" x14ac:dyDescent="0.4">
      <c r="A36" s="46" t="s">
        <v>85</v>
      </c>
      <c r="B36" s="205" t="s">
        <v>80</v>
      </c>
      <c r="C36" s="174">
        <v>629.19000000000005</v>
      </c>
      <c r="D36" s="174">
        <v>52.432499999999997</v>
      </c>
      <c r="E36" s="206" t="s">
        <v>19</v>
      </c>
      <c r="F36" s="173"/>
      <c r="G36" s="173"/>
      <c r="H36" s="173"/>
      <c r="I36" s="174">
        <v>980.04</v>
      </c>
      <c r="J36" s="174">
        <v>419.41</v>
      </c>
      <c r="K36" s="174">
        <v>39.68</v>
      </c>
      <c r="L36" s="173"/>
      <c r="M36" s="173"/>
      <c r="N36" s="173"/>
      <c r="O36" s="173"/>
      <c r="P36" s="173"/>
      <c r="Q36" s="173"/>
      <c r="R36" s="174">
        <v>1439.13</v>
      </c>
      <c r="S36" s="21"/>
      <c r="T36" s="173"/>
      <c r="U36" s="173"/>
      <c r="V36" s="173"/>
      <c r="W36" s="174">
        <v>980.04</v>
      </c>
      <c r="X36" s="174">
        <v>607.80999999999995</v>
      </c>
      <c r="Y36" s="174">
        <v>39.68</v>
      </c>
      <c r="Z36" s="174">
        <v>1627.53</v>
      </c>
      <c r="AA36" s="20"/>
      <c r="AB36" s="21">
        <f t="shared" si="7"/>
        <v>1439.13</v>
      </c>
      <c r="AC36" s="224">
        <f t="shared" si="8"/>
        <v>188.39999999999986</v>
      </c>
      <c r="AD36" s="8">
        <f t="shared" si="9"/>
        <v>0.1309124262575305</v>
      </c>
    </row>
    <row r="37" spans="1:30" x14ac:dyDescent="0.4">
      <c r="A37" s="46"/>
      <c r="B37" s="205" t="s">
        <v>82</v>
      </c>
      <c r="C37" s="174">
        <v>3757.59</v>
      </c>
      <c r="D37" s="174">
        <v>313.13249999999999</v>
      </c>
      <c r="E37" s="206" t="s">
        <v>19</v>
      </c>
      <c r="F37" s="174">
        <v>288.10000000000002</v>
      </c>
      <c r="G37" s="174">
        <v>288.10000000000002</v>
      </c>
      <c r="H37" s="174">
        <v>288.10000000000002</v>
      </c>
      <c r="I37" s="174">
        <v>288.10000000000002</v>
      </c>
      <c r="J37" s="174">
        <v>288.10000000000002</v>
      </c>
      <c r="K37" s="174">
        <v>316.14</v>
      </c>
      <c r="L37" s="174">
        <v>316.14</v>
      </c>
      <c r="M37" s="174">
        <v>288.10000000000002</v>
      </c>
      <c r="N37" s="174">
        <v>288.10000000000002</v>
      </c>
      <c r="O37" s="174">
        <v>288.10000000000002</v>
      </c>
      <c r="P37" s="174">
        <v>288.12</v>
      </c>
      <c r="Q37" s="174">
        <v>316.14</v>
      </c>
      <c r="R37" s="174">
        <v>3541.34</v>
      </c>
      <c r="S37" s="21"/>
      <c r="T37" s="174">
        <v>316.14</v>
      </c>
      <c r="U37" s="174">
        <v>316.14</v>
      </c>
      <c r="V37" s="174">
        <v>288.10000000000002</v>
      </c>
      <c r="W37" s="174">
        <v>288.10000000000002</v>
      </c>
      <c r="X37" s="174">
        <v>288.10000000000002</v>
      </c>
      <c r="Y37" s="174">
        <v>288.10000000000002</v>
      </c>
      <c r="Z37" s="174">
        <v>1784.68</v>
      </c>
      <c r="AA37" s="20"/>
      <c r="AB37" s="21">
        <f t="shared" si="7"/>
        <v>1756.6399999999999</v>
      </c>
      <c r="AC37" s="224">
        <f t="shared" si="8"/>
        <v>28.040000000000191</v>
      </c>
      <c r="AD37" s="8">
        <f t="shared" si="9"/>
        <v>1.5962291647691158E-2</v>
      </c>
    </row>
    <row r="38" spans="1:30" x14ac:dyDescent="0.4">
      <c r="A38" s="46"/>
      <c r="B38" s="205" t="s">
        <v>84</v>
      </c>
      <c r="C38" s="174">
        <v>7587.24</v>
      </c>
      <c r="D38" s="174">
        <v>632.27</v>
      </c>
      <c r="E38" s="206" t="s">
        <v>19</v>
      </c>
      <c r="F38" s="174">
        <v>632.27</v>
      </c>
      <c r="G38" s="174">
        <v>632.27</v>
      </c>
      <c r="H38" s="174">
        <v>632.27</v>
      </c>
      <c r="I38" s="174">
        <v>632.27</v>
      </c>
      <c r="J38" s="174">
        <v>632.27</v>
      </c>
      <c r="K38" s="174">
        <v>632.27</v>
      </c>
      <c r="L38" s="174">
        <v>632.27</v>
      </c>
      <c r="M38" s="174">
        <v>632.27</v>
      </c>
      <c r="N38" s="174">
        <v>632.27</v>
      </c>
      <c r="O38" s="174">
        <v>632.27</v>
      </c>
      <c r="P38" s="174">
        <v>632.27</v>
      </c>
      <c r="Q38" s="174">
        <v>632.27</v>
      </c>
      <c r="R38" s="174">
        <v>7587.24</v>
      </c>
      <c r="S38" s="21"/>
      <c r="T38" s="174">
        <v>632.27</v>
      </c>
      <c r="U38" s="174">
        <v>632.27</v>
      </c>
      <c r="V38" s="174">
        <v>632.27</v>
      </c>
      <c r="W38" s="174">
        <v>632.27</v>
      </c>
      <c r="X38" s="174">
        <v>632.27</v>
      </c>
      <c r="Y38" s="174">
        <v>632.27</v>
      </c>
      <c r="Z38" s="174">
        <v>3793.62</v>
      </c>
      <c r="AA38" s="21"/>
      <c r="AB38" s="21">
        <f t="shared" si="7"/>
        <v>3793.62</v>
      </c>
      <c r="AC38" s="224">
        <f t="shared" si="8"/>
        <v>0</v>
      </c>
      <c r="AD38" s="8">
        <f t="shared" si="9"/>
        <v>0</v>
      </c>
    </row>
    <row r="39" spans="1:30" x14ac:dyDescent="0.4">
      <c r="A39" s="46"/>
      <c r="B39" s="205" t="s">
        <v>86</v>
      </c>
      <c r="C39" s="175">
        <v>44415.24</v>
      </c>
      <c r="D39" s="175">
        <v>3701.27</v>
      </c>
      <c r="E39" s="206" t="s">
        <v>19</v>
      </c>
      <c r="F39" s="175">
        <v>3847.53</v>
      </c>
      <c r="G39" s="175">
        <v>3847.53</v>
      </c>
      <c r="H39" s="175">
        <v>3847.53</v>
      </c>
      <c r="I39" s="175">
        <v>3959.89</v>
      </c>
      <c r="J39" s="175">
        <v>3959.89</v>
      </c>
      <c r="K39" s="175">
        <v>3959.89</v>
      </c>
      <c r="L39" s="175">
        <v>3983.9</v>
      </c>
      <c r="M39" s="175">
        <v>3983.9</v>
      </c>
      <c r="N39" s="175">
        <v>3983.9</v>
      </c>
      <c r="O39" s="175">
        <v>3983.9</v>
      </c>
      <c r="P39" s="175">
        <v>3982.48</v>
      </c>
      <c r="Q39" s="175">
        <v>3982.48</v>
      </c>
      <c r="R39" s="175">
        <v>47322.82</v>
      </c>
      <c r="S39" s="50"/>
      <c r="T39" s="175">
        <v>3982.48</v>
      </c>
      <c r="U39" s="175">
        <v>3982.48</v>
      </c>
      <c r="V39" s="175">
        <v>3982.48</v>
      </c>
      <c r="W39" s="175">
        <v>4248.87</v>
      </c>
      <c r="X39" s="175">
        <v>4248.87</v>
      </c>
      <c r="Y39" s="175">
        <v>4248.87</v>
      </c>
      <c r="Z39" s="175">
        <v>24694.05</v>
      </c>
      <c r="AA39" s="21"/>
      <c r="AB39" s="216">
        <f t="shared" si="7"/>
        <v>23422.26</v>
      </c>
      <c r="AC39" s="11">
        <f t="shared" si="8"/>
        <v>1271.7900000000009</v>
      </c>
      <c r="AD39" s="12">
        <f t="shared" si="9"/>
        <v>5.4298346957125446E-2</v>
      </c>
    </row>
    <row r="40" spans="1:30" x14ac:dyDescent="0.4">
      <c r="A40" s="46"/>
      <c r="B40" s="205" t="s">
        <v>89</v>
      </c>
      <c r="C40" s="175">
        <v>276364.33</v>
      </c>
      <c r="D40" s="175">
        <v>23030.360833333332</v>
      </c>
      <c r="E40" s="206" t="s">
        <v>19</v>
      </c>
      <c r="F40" s="175">
        <v>21783.84</v>
      </c>
      <c r="G40" s="175">
        <v>21783.84</v>
      </c>
      <c r="H40" s="175">
        <v>21783.84</v>
      </c>
      <c r="I40" s="175">
        <v>22876.240000000002</v>
      </c>
      <c r="J40" s="175">
        <v>22315.61</v>
      </c>
      <c r="K40" s="175">
        <v>21963.919999999998</v>
      </c>
      <c r="L40" s="175">
        <v>21948.25</v>
      </c>
      <c r="M40" s="175">
        <v>21920.21</v>
      </c>
      <c r="N40" s="175">
        <v>21920.21</v>
      </c>
      <c r="O40" s="175">
        <v>21920.21</v>
      </c>
      <c r="P40" s="175">
        <v>21918.81</v>
      </c>
      <c r="Q40" s="175">
        <v>21946.83</v>
      </c>
      <c r="R40" s="175">
        <v>264081.81</v>
      </c>
      <c r="S40" s="50"/>
      <c r="T40" s="175">
        <v>21946.83</v>
      </c>
      <c r="U40" s="175">
        <v>21946.83</v>
      </c>
      <c r="V40" s="175">
        <v>21918.79</v>
      </c>
      <c r="W40" s="175">
        <v>23165.22</v>
      </c>
      <c r="X40" s="175">
        <v>22792.99</v>
      </c>
      <c r="Y40" s="175">
        <v>22224.86</v>
      </c>
      <c r="Z40" s="175">
        <v>133995.51999999999</v>
      </c>
      <c r="AA40" s="48"/>
      <c r="AB40" s="51">
        <f>SUM(AB34:AB39)</f>
        <v>132507.28999999998</v>
      </c>
      <c r="AC40" s="51">
        <f>SUM(AC34:AC39)</f>
        <v>1488.2300000000009</v>
      </c>
      <c r="AD40" s="12">
        <f t="shared" si="3"/>
        <v>1.1231306594527752E-2</v>
      </c>
    </row>
    <row r="41" spans="1:30" x14ac:dyDescent="0.4">
      <c r="A41" s="46"/>
      <c r="B41" s="205"/>
      <c r="C41" s="173"/>
      <c r="D41" s="173"/>
      <c r="E41" s="206" t="s">
        <v>19</v>
      </c>
      <c r="F41" s="173"/>
      <c r="G41" s="173"/>
      <c r="H41" s="173"/>
      <c r="I41" s="173"/>
      <c r="J41" s="173"/>
      <c r="K41" s="173"/>
      <c r="L41" s="173"/>
      <c r="M41" s="173"/>
      <c r="N41" s="173"/>
      <c r="O41" s="173"/>
      <c r="P41" s="173"/>
      <c r="Q41" s="173"/>
      <c r="R41" s="173"/>
      <c r="S41" s="50"/>
      <c r="T41" s="173"/>
      <c r="U41" s="173"/>
      <c r="V41" s="173"/>
      <c r="W41" s="173"/>
      <c r="X41" s="173"/>
      <c r="Y41" s="173"/>
      <c r="Z41" s="173"/>
      <c r="AA41" s="48"/>
      <c r="AB41" s="48"/>
      <c r="AC41" s="4"/>
      <c r="AD41" s="5"/>
    </row>
    <row r="42" spans="1:30" x14ac:dyDescent="0.4">
      <c r="A42" s="46" t="s">
        <v>104</v>
      </c>
      <c r="B42" s="205"/>
      <c r="C42" s="173"/>
      <c r="D42" s="173"/>
      <c r="E42" s="206" t="s">
        <v>19</v>
      </c>
      <c r="F42" s="173"/>
      <c r="G42" s="173"/>
      <c r="H42" s="173"/>
      <c r="I42" s="173"/>
      <c r="J42" s="173"/>
      <c r="K42" s="173"/>
      <c r="L42" s="173"/>
      <c r="M42" s="173"/>
      <c r="N42" s="173"/>
      <c r="O42" s="173"/>
      <c r="P42" s="173"/>
      <c r="Q42" s="173"/>
      <c r="R42" s="173"/>
      <c r="S42" s="50"/>
      <c r="T42" s="173"/>
      <c r="U42" s="173"/>
      <c r="V42" s="173"/>
      <c r="W42" s="173"/>
      <c r="X42" s="173"/>
      <c r="Y42" s="173"/>
      <c r="Z42" s="173"/>
      <c r="AA42" s="48"/>
      <c r="AB42" s="48"/>
      <c r="AC42" s="4"/>
      <c r="AD42" s="5"/>
    </row>
    <row r="43" spans="1:30" x14ac:dyDescent="0.4">
      <c r="A43" s="46" t="s">
        <v>108</v>
      </c>
      <c r="B43" s="205"/>
      <c r="C43" s="173"/>
      <c r="D43" s="173"/>
      <c r="E43" s="206" t="s">
        <v>19</v>
      </c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173"/>
      <c r="R43" s="173"/>
      <c r="S43" s="21"/>
      <c r="T43" s="173"/>
      <c r="U43" s="173"/>
      <c r="V43" s="173"/>
      <c r="W43" s="173"/>
      <c r="X43" s="173"/>
      <c r="Y43" s="173"/>
      <c r="Z43" s="173"/>
      <c r="AA43" s="48"/>
      <c r="AB43" s="48"/>
      <c r="AC43" s="4"/>
      <c r="AD43" s="5"/>
    </row>
    <row r="44" spans="1:30" x14ac:dyDescent="0.4">
      <c r="A44" s="46" t="s">
        <v>110</v>
      </c>
      <c r="B44" s="205" t="s">
        <v>103</v>
      </c>
      <c r="C44" s="173"/>
      <c r="D44" s="173"/>
      <c r="E44" s="206" t="s">
        <v>19</v>
      </c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73"/>
      <c r="Q44" s="173"/>
      <c r="R44" s="173"/>
      <c r="S44" s="21"/>
      <c r="T44" s="173"/>
      <c r="U44" s="173"/>
      <c r="V44" s="173"/>
      <c r="W44" s="173"/>
      <c r="X44" s="173"/>
      <c r="Y44" s="173"/>
      <c r="Z44" s="173"/>
      <c r="AA44" s="20"/>
      <c r="AB44" s="48"/>
      <c r="AC44" s="4"/>
      <c r="AD44" s="5"/>
    </row>
    <row r="45" spans="1:30" x14ac:dyDescent="0.4">
      <c r="A45" s="46"/>
      <c r="B45" s="205" t="s">
        <v>105</v>
      </c>
      <c r="C45" s="174">
        <v>5217.46</v>
      </c>
      <c r="D45" s="174">
        <v>434.7883333333333</v>
      </c>
      <c r="E45" s="206" t="s">
        <v>19</v>
      </c>
      <c r="F45" s="174">
        <v>607.14</v>
      </c>
      <c r="G45" s="174">
        <v>583.84</v>
      </c>
      <c r="H45" s="174">
        <v>589.79</v>
      </c>
      <c r="I45" s="174">
        <v>65.91</v>
      </c>
      <c r="J45" s="174">
        <v>28.34</v>
      </c>
      <c r="K45" s="174">
        <v>16.62</v>
      </c>
      <c r="L45" s="174">
        <v>57.94</v>
      </c>
      <c r="M45" s="173"/>
      <c r="N45" s="174">
        <v>17.48</v>
      </c>
      <c r="O45" s="174">
        <v>19.29</v>
      </c>
      <c r="P45" s="174">
        <v>29.4</v>
      </c>
      <c r="Q45" s="174">
        <v>20.05</v>
      </c>
      <c r="R45" s="174">
        <v>2035.8</v>
      </c>
      <c r="S45" s="21"/>
      <c r="T45" s="174">
        <v>16</v>
      </c>
      <c r="U45" s="174">
        <v>9.6</v>
      </c>
      <c r="V45" s="174">
        <v>13.49</v>
      </c>
      <c r="W45" s="173"/>
      <c r="X45" s="174">
        <v>33.14</v>
      </c>
      <c r="Y45" s="173"/>
      <c r="Z45" s="174">
        <v>72.23</v>
      </c>
      <c r="AA45" s="20"/>
      <c r="AB45" s="21">
        <f t="shared" ref="AB45:AB53" si="10">SUM(F45:K45)</f>
        <v>1891.6399999999999</v>
      </c>
      <c r="AC45" s="224">
        <f>+Z45-AB45</f>
        <v>-1819.4099999999999</v>
      </c>
      <c r="AD45" s="8">
        <f t="shared" si="3"/>
        <v>-0.96181620181429872</v>
      </c>
    </row>
    <row r="46" spans="1:30" x14ac:dyDescent="0.4">
      <c r="A46" s="46" t="s">
        <v>128</v>
      </c>
      <c r="B46" s="205" t="s">
        <v>109</v>
      </c>
      <c r="C46" s="174">
        <v>757.56</v>
      </c>
      <c r="D46" s="174">
        <v>63.13</v>
      </c>
      <c r="E46" s="206" t="s">
        <v>19</v>
      </c>
      <c r="F46" s="174">
        <v>63.13</v>
      </c>
      <c r="G46" s="174">
        <v>63.13</v>
      </c>
      <c r="H46" s="174">
        <v>63.13</v>
      </c>
      <c r="I46" s="174">
        <v>63.13</v>
      </c>
      <c r="J46" s="174">
        <v>63.13</v>
      </c>
      <c r="K46" s="174">
        <v>63.13</v>
      </c>
      <c r="L46" s="174">
        <v>63.13</v>
      </c>
      <c r="M46" s="174">
        <v>63.13</v>
      </c>
      <c r="N46" s="174">
        <v>224</v>
      </c>
      <c r="O46" s="174">
        <v>126.26</v>
      </c>
      <c r="P46" s="174">
        <v>126.26</v>
      </c>
      <c r="Q46" s="174">
        <v>126.26</v>
      </c>
      <c r="R46" s="174">
        <v>1107.82</v>
      </c>
      <c r="S46" s="21"/>
      <c r="T46" s="174">
        <v>126.26</v>
      </c>
      <c r="U46" s="174">
        <v>128.44</v>
      </c>
      <c r="V46" s="174">
        <v>126.26</v>
      </c>
      <c r="W46" s="174">
        <v>126.26</v>
      </c>
      <c r="X46" s="174">
        <v>781.77</v>
      </c>
      <c r="Y46" s="174">
        <v>144.97999999999999</v>
      </c>
      <c r="Z46" s="174">
        <v>1433.97</v>
      </c>
      <c r="AA46" s="20"/>
      <c r="AB46" s="21">
        <f t="shared" si="10"/>
        <v>378.78000000000003</v>
      </c>
      <c r="AC46" s="224">
        <f t="shared" ref="AC46:AC53" si="11">+Z46-AB46</f>
        <v>1055.19</v>
      </c>
      <c r="AD46" s="8">
        <f t="shared" ref="AD46:AD53" si="12">+AC46/AB46</f>
        <v>2.7857595437985108</v>
      </c>
    </row>
    <row r="47" spans="1:30" x14ac:dyDescent="0.4">
      <c r="A47" s="46" t="s">
        <v>134</v>
      </c>
      <c r="B47" s="205" t="s">
        <v>111</v>
      </c>
      <c r="C47" s="174">
        <v>2037.53</v>
      </c>
      <c r="D47" s="174">
        <v>169.79416666666671</v>
      </c>
      <c r="E47" s="206" t="s">
        <v>19</v>
      </c>
      <c r="F47" s="174">
        <v>106</v>
      </c>
      <c r="G47" s="174">
        <v>210.59</v>
      </c>
      <c r="H47" s="173"/>
      <c r="I47" s="174">
        <v>210</v>
      </c>
      <c r="J47" s="174">
        <v>151.41999999999999</v>
      </c>
      <c r="K47" s="173"/>
      <c r="L47" s="174">
        <v>27.09</v>
      </c>
      <c r="M47" s="174">
        <v>301.5</v>
      </c>
      <c r="N47" s="173"/>
      <c r="O47" s="173"/>
      <c r="P47" s="174">
        <v>201</v>
      </c>
      <c r="Q47" s="173"/>
      <c r="R47" s="174">
        <v>1207.5999999999999</v>
      </c>
      <c r="S47" s="21"/>
      <c r="T47" s="174">
        <v>118</v>
      </c>
      <c r="U47" s="174">
        <v>250.39</v>
      </c>
      <c r="V47" s="174">
        <v>205.5</v>
      </c>
      <c r="W47" s="173"/>
      <c r="X47" s="174">
        <v>503.5</v>
      </c>
      <c r="Y47" s="173"/>
      <c r="Z47" s="174">
        <v>1077.3900000000001</v>
      </c>
      <c r="AA47" s="20"/>
      <c r="AB47" s="21">
        <f t="shared" si="10"/>
        <v>678.01</v>
      </c>
      <c r="AC47" s="224">
        <f t="shared" si="11"/>
        <v>399.38000000000011</v>
      </c>
      <c r="AD47" s="8">
        <f t="shared" si="12"/>
        <v>0.58904735918349305</v>
      </c>
    </row>
    <row r="48" spans="1:30" x14ac:dyDescent="0.4">
      <c r="A48" s="46" t="s">
        <v>136</v>
      </c>
      <c r="B48" s="205" t="s">
        <v>129</v>
      </c>
      <c r="C48" s="174">
        <v>946.9</v>
      </c>
      <c r="D48" s="174">
        <v>78.908333333333303</v>
      </c>
      <c r="E48" s="206" t="s">
        <v>19</v>
      </c>
      <c r="F48" s="174">
        <v>76.540000000000006</v>
      </c>
      <c r="G48" s="174">
        <v>68.510000000000005</v>
      </c>
      <c r="H48" s="174">
        <v>67.31</v>
      </c>
      <c r="I48" s="174">
        <v>62.15</v>
      </c>
      <c r="J48" s="174">
        <v>94.81</v>
      </c>
      <c r="K48" s="174">
        <v>87.99</v>
      </c>
      <c r="L48" s="174">
        <v>57.94</v>
      </c>
      <c r="M48" s="174">
        <v>70.180000000000007</v>
      </c>
      <c r="N48" s="174">
        <v>33.43</v>
      </c>
      <c r="O48" s="174">
        <v>60.94</v>
      </c>
      <c r="P48" s="174">
        <v>36.590000000000003</v>
      </c>
      <c r="Q48" s="174">
        <v>88.12</v>
      </c>
      <c r="R48" s="174">
        <v>804.51</v>
      </c>
      <c r="S48" s="50"/>
      <c r="T48" s="174">
        <v>129.88999999999999</v>
      </c>
      <c r="U48" s="174">
        <v>62.33</v>
      </c>
      <c r="V48" s="174">
        <v>137.82</v>
      </c>
      <c r="W48" s="174">
        <v>66.3</v>
      </c>
      <c r="X48" s="174">
        <v>64.45</v>
      </c>
      <c r="Y48" s="174">
        <v>82.23</v>
      </c>
      <c r="Z48" s="174">
        <v>543.02</v>
      </c>
      <c r="AA48" s="20"/>
      <c r="AB48" s="21">
        <f t="shared" si="10"/>
        <v>457.31</v>
      </c>
      <c r="AC48" s="224">
        <f t="shared" si="11"/>
        <v>85.70999999999998</v>
      </c>
      <c r="AD48" s="8">
        <f t="shared" si="12"/>
        <v>0.18742209879512797</v>
      </c>
    </row>
    <row r="49" spans="1:30" x14ac:dyDescent="0.4">
      <c r="A49" s="46" t="s">
        <v>142</v>
      </c>
      <c r="B49" s="205" t="s">
        <v>135</v>
      </c>
      <c r="C49" s="174">
        <v>965.27</v>
      </c>
      <c r="D49" s="174">
        <v>80.439166666666694</v>
      </c>
      <c r="E49" s="206" t="s">
        <v>19</v>
      </c>
      <c r="F49" s="173"/>
      <c r="G49" s="173"/>
      <c r="H49" s="174">
        <v>61.3</v>
      </c>
      <c r="I49" s="173"/>
      <c r="J49" s="173"/>
      <c r="K49" s="173"/>
      <c r="L49" s="173"/>
      <c r="M49" s="174">
        <v>82.09</v>
      </c>
      <c r="N49" s="173"/>
      <c r="O49" s="173"/>
      <c r="P49" s="173"/>
      <c r="Q49" s="173"/>
      <c r="R49" s="174">
        <v>143.38999999999999</v>
      </c>
      <c r="S49" s="21"/>
      <c r="T49" s="173"/>
      <c r="U49" s="173"/>
      <c r="V49" s="173"/>
      <c r="W49" s="173"/>
      <c r="X49" s="174">
        <v>117.72</v>
      </c>
      <c r="Y49" s="173"/>
      <c r="Z49" s="174">
        <v>117.72</v>
      </c>
      <c r="AA49" s="20"/>
      <c r="AB49" s="21">
        <f t="shared" si="10"/>
        <v>61.3</v>
      </c>
      <c r="AC49" s="224">
        <f t="shared" si="11"/>
        <v>56.42</v>
      </c>
      <c r="AD49" s="8">
        <f t="shared" si="12"/>
        <v>0.92039151712887446</v>
      </c>
    </row>
    <row r="50" spans="1:30" x14ac:dyDescent="0.4">
      <c r="A50" s="46" t="s">
        <v>144</v>
      </c>
      <c r="B50" s="205" t="s">
        <v>137</v>
      </c>
      <c r="C50" s="173"/>
      <c r="D50" s="174"/>
      <c r="E50" s="206" t="s">
        <v>19</v>
      </c>
      <c r="F50" s="173"/>
      <c r="G50" s="173"/>
      <c r="H50" s="174">
        <v>340</v>
      </c>
      <c r="I50" s="174">
        <v>160</v>
      </c>
      <c r="J50" s="173"/>
      <c r="K50" s="173"/>
      <c r="L50" s="173"/>
      <c r="M50" s="173"/>
      <c r="N50" s="173"/>
      <c r="O50" s="173"/>
      <c r="P50" s="173"/>
      <c r="Q50" s="173"/>
      <c r="R50" s="174">
        <v>500</v>
      </c>
      <c r="S50" s="21"/>
      <c r="T50" s="174">
        <v>360</v>
      </c>
      <c r="U50" s="173"/>
      <c r="V50" s="173"/>
      <c r="W50" s="173"/>
      <c r="X50" s="174">
        <v>500</v>
      </c>
      <c r="Y50" s="173"/>
      <c r="Z50" s="174">
        <v>860</v>
      </c>
      <c r="AA50" s="20"/>
      <c r="AB50" s="21">
        <f t="shared" si="10"/>
        <v>500</v>
      </c>
      <c r="AC50" s="224">
        <f t="shared" si="11"/>
        <v>360</v>
      </c>
      <c r="AD50" s="8">
        <f t="shared" si="12"/>
        <v>0.72</v>
      </c>
    </row>
    <row r="51" spans="1:30" x14ac:dyDescent="0.4">
      <c r="A51" s="46" t="s">
        <v>148</v>
      </c>
      <c r="B51" s="205" t="s">
        <v>143</v>
      </c>
      <c r="C51" s="174">
        <v>1016.81</v>
      </c>
      <c r="D51" s="174">
        <v>84.734166666666695</v>
      </c>
      <c r="E51" s="206" t="s">
        <v>19</v>
      </c>
      <c r="F51" s="173"/>
      <c r="G51" s="174">
        <v>251.37</v>
      </c>
      <c r="H51" s="173"/>
      <c r="I51" s="173"/>
      <c r="J51" s="174">
        <v>251.37</v>
      </c>
      <c r="K51" s="173"/>
      <c r="L51" s="173"/>
      <c r="M51" s="174">
        <v>251.37</v>
      </c>
      <c r="N51" s="173"/>
      <c r="O51" s="173"/>
      <c r="P51" s="174">
        <v>249.37</v>
      </c>
      <c r="Q51" s="173"/>
      <c r="R51" s="174">
        <v>1003.48</v>
      </c>
      <c r="S51" s="21"/>
      <c r="T51" s="173"/>
      <c r="U51" s="174">
        <v>259.95</v>
      </c>
      <c r="V51" s="173"/>
      <c r="W51" s="173"/>
      <c r="X51" s="174">
        <v>109.5</v>
      </c>
      <c r="Y51" s="174">
        <v>258.95</v>
      </c>
      <c r="Z51" s="174">
        <v>628.4</v>
      </c>
      <c r="AA51" s="20"/>
      <c r="AB51" s="21">
        <f t="shared" si="10"/>
        <v>502.74</v>
      </c>
      <c r="AC51" s="224">
        <f t="shared" si="11"/>
        <v>125.65999999999997</v>
      </c>
      <c r="AD51" s="8">
        <f t="shared" si="12"/>
        <v>0.24995027250666341</v>
      </c>
    </row>
    <row r="52" spans="1:30" x14ac:dyDescent="0.4">
      <c r="A52" s="46"/>
      <c r="B52" s="205" t="s">
        <v>145</v>
      </c>
      <c r="C52" s="174">
        <v>29549</v>
      </c>
      <c r="D52" s="174">
        <v>2462.4166666666665</v>
      </c>
      <c r="E52" s="206" t="s">
        <v>19</v>
      </c>
      <c r="F52" s="174">
        <v>2273</v>
      </c>
      <c r="G52" s="174">
        <v>2273</v>
      </c>
      <c r="H52" s="174">
        <v>2273</v>
      </c>
      <c r="I52" s="174">
        <v>2273</v>
      </c>
      <c r="J52" s="174">
        <v>2273</v>
      </c>
      <c r="K52" s="174">
        <v>2273</v>
      </c>
      <c r="L52" s="174">
        <v>2273</v>
      </c>
      <c r="M52" s="174">
        <v>2273</v>
      </c>
      <c r="N52" s="174">
        <v>2273</v>
      </c>
      <c r="O52" s="174">
        <v>2273</v>
      </c>
      <c r="P52" s="174">
        <v>2273</v>
      </c>
      <c r="Q52" s="174">
        <v>2273</v>
      </c>
      <c r="R52" s="174">
        <v>27276</v>
      </c>
      <c r="S52" s="21"/>
      <c r="T52" s="174">
        <v>2273</v>
      </c>
      <c r="U52" s="174">
        <v>2273</v>
      </c>
      <c r="V52" s="174">
        <v>2273</v>
      </c>
      <c r="W52" s="174">
        <v>2273</v>
      </c>
      <c r="X52" s="174">
        <v>2273</v>
      </c>
      <c r="Y52" s="174">
        <v>2273</v>
      </c>
      <c r="Z52" s="174">
        <v>13638</v>
      </c>
      <c r="AA52" s="21"/>
      <c r="AB52" s="21">
        <f t="shared" si="10"/>
        <v>13638</v>
      </c>
      <c r="AC52" s="224">
        <f t="shared" si="11"/>
        <v>0</v>
      </c>
      <c r="AD52" s="8">
        <f t="shared" si="12"/>
        <v>0</v>
      </c>
    </row>
    <row r="53" spans="1:30" x14ac:dyDescent="0.4">
      <c r="A53" s="46"/>
      <c r="B53" s="205" t="s">
        <v>149</v>
      </c>
      <c r="C53" s="175">
        <v>669</v>
      </c>
      <c r="D53" s="175">
        <v>55.75</v>
      </c>
      <c r="E53" s="206" t="s">
        <v>19</v>
      </c>
      <c r="F53" s="176"/>
      <c r="G53" s="175">
        <v>223</v>
      </c>
      <c r="H53" s="176"/>
      <c r="I53" s="176"/>
      <c r="J53" s="176"/>
      <c r="K53" s="175">
        <v>223</v>
      </c>
      <c r="L53" s="176"/>
      <c r="M53" s="176"/>
      <c r="N53" s="176"/>
      <c r="O53" s="176"/>
      <c r="P53" s="176"/>
      <c r="Q53" s="176"/>
      <c r="R53" s="175">
        <v>446</v>
      </c>
      <c r="S53" s="50"/>
      <c r="T53" s="176"/>
      <c r="U53" s="176"/>
      <c r="V53" s="176"/>
      <c r="W53" s="176"/>
      <c r="X53" s="175">
        <v>448.3</v>
      </c>
      <c r="Y53" s="176"/>
      <c r="Z53" s="175">
        <v>448.3</v>
      </c>
      <c r="AA53" s="21"/>
      <c r="AB53" s="216">
        <f t="shared" si="10"/>
        <v>446</v>
      </c>
      <c r="AC53" s="11">
        <f t="shared" si="11"/>
        <v>2.3000000000000114</v>
      </c>
      <c r="AD53" s="12">
        <f t="shared" si="12"/>
        <v>5.156950672645765E-3</v>
      </c>
    </row>
    <row r="54" spans="1:30" x14ac:dyDescent="0.4">
      <c r="A54" s="46"/>
      <c r="B54" s="205" t="s">
        <v>154</v>
      </c>
      <c r="C54" s="175">
        <v>41159.53</v>
      </c>
      <c r="D54" s="175">
        <v>3429.9608333333331</v>
      </c>
      <c r="E54" s="206" t="s">
        <v>19</v>
      </c>
      <c r="F54" s="175">
        <v>3125.81</v>
      </c>
      <c r="G54" s="175">
        <v>3673.44</v>
      </c>
      <c r="H54" s="175">
        <v>3394.53</v>
      </c>
      <c r="I54" s="175">
        <v>2834.19</v>
      </c>
      <c r="J54" s="175">
        <v>2862.07</v>
      </c>
      <c r="K54" s="175">
        <v>2663.74</v>
      </c>
      <c r="L54" s="175">
        <v>2479.1</v>
      </c>
      <c r="M54" s="175">
        <v>3041.27</v>
      </c>
      <c r="N54" s="175">
        <v>2547.91</v>
      </c>
      <c r="O54" s="175">
        <v>2479.4899999999998</v>
      </c>
      <c r="P54" s="175">
        <v>2915.62</v>
      </c>
      <c r="Q54" s="175">
        <v>2507.4299999999998</v>
      </c>
      <c r="R54" s="175">
        <v>34524.6</v>
      </c>
      <c r="S54" s="50"/>
      <c r="T54" s="175">
        <v>3023.15</v>
      </c>
      <c r="U54" s="175">
        <v>2983.71</v>
      </c>
      <c r="V54" s="175">
        <v>2756.07</v>
      </c>
      <c r="W54" s="175">
        <v>2465.56</v>
      </c>
      <c r="X54" s="175">
        <v>4831.38</v>
      </c>
      <c r="Y54" s="175">
        <v>2759.16</v>
      </c>
      <c r="Z54" s="175">
        <v>18819.03</v>
      </c>
      <c r="AA54" s="48"/>
      <c r="AB54" s="51">
        <f>SUM(AB45:AB53)</f>
        <v>18553.78</v>
      </c>
      <c r="AC54" s="51">
        <f>SUM(AC45:AC53)</f>
        <v>265.25000000000028</v>
      </c>
      <c r="AD54" s="12">
        <f t="shared" si="3"/>
        <v>1.4296278170809414E-2</v>
      </c>
    </row>
    <row r="55" spans="1:30" x14ac:dyDescent="0.4">
      <c r="A55" s="46" t="s">
        <v>167</v>
      </c>
      <c r="B55" s="205"/>
      <c r="C55" s="173"/>
      <c r="D55" s="173"/>
      <c r="E55" s="206" t="s">
        <v>19</v>
      </c>
      <c r="F55" s="173"/>
      <c r="G55" s="173"/>
      <c r="H55" s="173"/>
      <c r="I55" s="173"/>
      <c r="J55" s="173"/>
      <c r="K55" s="173"/>
      <c r="L55" s="173"/>
      <c r="M55" s="173"/>
      <c r="N55" s="173"/>
      <c r="O55" s="173"/>
      <c r="P55" s="173"/>
      <c r="Q55" s="173"/>
      <c r="R55" s="173"/>
      <c r="S55" s="21"/>
      <c r="T55" s="173"/>
      <c r="U55" s="173"/>
      <c r="V55" s="173"/>
      <c r="W55" s="173"/>
      <c r="X55" s="173"/>
      <c r="Y55" s="173"/>
      <c r="Z55" s="173"/>
      <c r="AA55" s="48"/>
      <c r="AB55" s="48"/>
      <c r="AC55" s="4"/>
      <c r="AD55" s="5"/>
    </row>
    <row r="56" spans="1:30" x14ac:dyDescent="0.4">
      <c r="A56" s="46" t="s">
        <v>169</v>
      </c>
      <c r="B56" s="205" t="s">
        <v>59</v>
      </c>
      <c r="C56" s="173"/>
      <c r="D56" s="173"/>
      <c r="E56" s="206" t="s">
        <v>19</v>
      </c>
      <c r="F56" s="173"/>
      <c r="G56" s="173"/>
      <c r="H56" s="173"/>
      <c r="I56" s="173"/>
      <c r="J56" s="173"/>
      <c r="K56" s="173"/>
      <c r="L56" s="173"/>
      <c r="M56" s="173"/>
      <c r="N56" s="173"/>
      <c r="O56" s="173"/>
      <c r="P56" s="173"/>
      <c r="Q56" s="173"/>
      <c r="R56" s="173"/>
      <c r="S56" s="21"/>
      <c r="T56" s="173"/>
      <c r="U56" s="173"/>
      <c r="V56" s="173"/>
      <c r="W56" s="173"/>
      <c r="X56" s="173"/>
      <c r="Y56" s="173"/>
      <c r="Z56" s="173"/>
      <c r="AA56" s="20"/>
      <c r="AB56" s="48"/>
      <c r="AC56" s="4"/>
      <c r="AD56" s="5"/>
    </row>
    <row r="57" spans="1:30" x14ac:dyDescent="0.4">
      <c r="A57" s="46"/>
      <c r="B57" s="205" t="s">
        <v>168</v>
      </c>
      <c r="C57" s="174">
        <v>2865</v>
      </c>
      <c r="D57" s="174">
        <v>238.75</v>
      </c>
      <c r="E57" s="206" t="s">
        <v>19</v>
      </c>
      <c r="F57" s="174">
        <v>204.95</v>
      </c>
      <c r="G57" s="174">
        <v>235</v>
      </c>
      <c r="H57" s="174">
        <v>235</v>
      </c>
      <c r="I57" s="174">
        <v>235</v>
      </c>
      <c r="J57" s="174">
        <v>225</v>
      </c>
      <c r="K57" s="174">
        <v>235</v>
      </c>
      <c r="L57" s="174">
        <v>225</v>
      </c>
      <c r="M57" s="174">
        <v>225</v>
      </c>
      <c r="N57" s="174">
        <v>225</v>
      </c>
      <c r="O57" s="174">
        <v>305</v>
      </c>
      <c r="P57" s="174">
        <v>235</v>
      </c>
      <c r="Q57" s="174">
        <v>235</v>
      </c>
      <c r="R57" s="174">
        <v>2819.95</v>
      </c>
      <c r="S57" s="21"/>
      <c r="T57" s="174">
        <v>235</v>
      </c>
      <c r="U57" s="174">
        <v>235</v>
      </c>
      <c r="V57" s="174">
        <v>235</v>
      </c>
      <c r="W57" s="174">
        <v>235</v>
      </c>
      <c r="X57" s="174">
        <v>204.95</v>
      </c>
      <c r="Y57" s="174">
        <v>235</v>
      </c>
      <c r="Z57" s="174">
        <v>1379.95</v>
      </c>
      <c r="AA57" s="21"/>
      <c r="AB57" s="21">
        <f>SUM(F57:K57)</f>
        <v>1369.95</v>
      </c>
      <c r="AC57" s="224">
        <f>+Z57-AB57</f>
        <v>10</v>
      </c>
      <c r="AD57" s="8">
        <f t="shared" si="3"/>
        <v>7.2995364794335559E-3</v>
      </c>
    </row>
    <row r="58" spans="1:30" x14ac:dyDescent="0.4">
      <c r="A58" s="46"/>
      <c r="B58" s="205" t="s">
        <v>170</v>
      </c>
      <c r="C58" s="175">
        <v>23423.35</v>
      </c>
      <c r="D58" s="175">
        <v>1951.9458333333332</v>
      </c>
      <c r="E58" s="206" t="s">
        <v>19</v>
      </c>
      <c r="F58" s="176"/>
      <c r="G58" s="176"/>
      <c r="H58" s="176"/>
      <c r="I58" s="175">
        <v>1569.9</v>
      </c>
      <c r="J58" s="176"/>
      <c r="K58" s="176"/>
      <c r="L58" s="175">
        <v>467.64</v>
      </c>
      <c r="M58" s="176"/>
      <c r="N58" s="176"/>
      <c r="O58" s="176"/>
      <c r="P58" s="175">
        <v>181.77</v>
      </c>
      <c r="Q58" s="175">
        <v>996</v>
      </c>
      <c r="R58" s="175">
        <v>3215.31</v>
      </c>
      <c r="S58" s="50"/>
      <c r="T58" s="176"/>
      <c r="U58" s="176"/>
      <c r="V58" s="176"/>
      <c r="W58" s="176"/>
      <c r="X58" s="175">
        <v>3277.28</v>
      </c>
      <c r="Y58" s="176"/>
      <c r="Z58" s="175">
        <v>3277.28</v>
      </c>
      <c r="AA58" s="21"/>
      <c r="AB58" s="216">
        <f>SUM(F58:K58)</f>
        <v>1569.9</v>
      </c>
      <c r="AC58" s="11">
        <f>+Z58-AB58</f>
        <v>1707.38</v>
      </c>
      <c r="AD58" s="12">
        <f t="shared" ref="AD58" si="13">+AC58/AB58</f>
        <v>1.087572456844385</v>
      </c>
    </row>
    <row r="59" spans="1:30" x14ac:dyDescent="0.4">
      <c r="A59" s="46"/>
      <c r="B59" s="205" t="s">
        <v>175</v>
      </c>
      <c r="C59" s="175">
        <v>26288.35</v>
      </c>
      <c r="D59" s="175">
        <v>2190.6958333333332</v>
      </c>
      <c r="E59" s="206" t="s">
        <v>19</v>
      </c>
      <c r="F59" s="175">
        <v>204.95</v>
      </c>
      <c r="G59" s="175">
        <v>235</v>
      </c>
      <c r="H59" s="175">
        <v>235</v>
      </c>
      <c r="I59" s="175">
        <v>1804.9</v>
      </c>
      <c r="J59" s="175">
        <v>225</v>
      </c>
      <c r="K59" s="175">
        <v>235</v>
      </c>
      <c r="L59" s="175">
        <v>692.64</v>
      </c>
      <c r="M59" s="175">
        <v>225</v>
      </c>
      <c r="N59" s="175">
        <v>225</v>
      </c>
      <c r="O59" s="175">
        <v>305</v>
      </c>
      <c r="P59" s="175">
        <v>416.77</v>
      </c>
      <c r="Q59" s="175">
        <v>1231</v>
      </c>
      <c r="R59" s="175">
        <v>6035.26</v>
      </c>
      <c r="S59" s="50"/>
      <c r="T59" s="175">
        <v>235</v>
      </c>
      <c r="U59" s="175">
        <v>235</v>
      </c>
      <c r="V59" s="175">
        <v>235</v>
      </c>
      <c r="W59" s="175">
        <v>235</v>
      </c>
      <c r="X59" s="175">
        <v>3482.23</v>
      </c>
      <c r="Y59" s="175">
        <v>235</v>
      </c>
      <c r="Z59" s="175">
        <v>4657.2299999999996</v>
      </c>
      <c r="AA59" s="48"/>
      <c r="AB59" s="51">
        <f>SUM(AB57:AB58)</f>
        <v>2939.8500000000004</v>
      </c>
      <c r="AC59" s="51">
        <f>SUM(AC57:AC58)</f>
        <v>1717.38</v>
      </c>
      <c r="AD59" s="12">
        <f t="shared" si="3"/>
        <v>0.58417266187050354</v>
      </c>
    </row>
    <row r="60" spans="1:30" x14ac:dyDescent="0.4">
      <c r="A60" s="46" t="s">
        <v>176</v>
      </c>
      <c r="B60" s="205"/>
      <c r="C60" s="173"/>
      <c r="D60" s="173"/>
      <c r="E60" s="206" t="s">
        <v>19</v>
      </c>
      <c r="F60" s="173"/>
      <c r="G60" s="173"/>
      <c r="H60" s="173"/>
      <c r="I60" s="173"/>
      <c r="J60" s="173"/>
      <c r="K60" s="173"/>
      <c r="L60" s="173"/>
      <c r="M60" s="173"/>
      <c r="N60" s="173"/>
      <c r="O60" s="173"/>
      <c r="P60" s="173"/>
      <c r="Q60" s="173"/>
      <c r="R60" s="173"/>
      <c r="S60" s="21"/>
      <c r="T60" s="173"/>
      <c r="U60" s="173"/>
      <c r="V60" s="173"/>
      <c r="W60" s="173"/>
      <c r="X60" s="173"/>
      <c r="Y60" s="173"/>
      <c r="Z60" s="173"/>
      <c r="AA60" s="48"/>
      <c r="AB60" s="48"/>
      <c r="AC60" s="4"/>
      <c r="AD60" s="5"/>
    </row>
    <row r="61" spans="1:30" x14ac:dyDescent="0.4">
      <c r="A61" s="46" t="s">
        <v>188</v>
      </c>
      <c r="B61" s="205" t="s">
        <v>60</v>
      </c>
      <c r="C61" s="173"/>
      <c r="D61" s="173"/>
      <c r="E61" s="206" t="s">
        <v>19</v>
      </c>
      <c r="F61" s="173"/>
      <c r="G61" s="173"/>
      <c r="H61" s="173"/>
      <c r="I61" s="173"/>
      <c r="J61" s="173"/>
      <c r="K61" s="173"/>
      <c r="L61" s="173"/>
      <c r="M61" s="173"/>
      <c r="N61" s="173"/>
      <c r="O61" s="173"/>
      <c r="P61" s="173"/>
      <c r="Q61" s="173"/>
      <c r="R61" s="173"/>
      <c r="S61" s="50"/>
      <c r="T61" s="173"/>
      <c r="U61" s="173"/>
      <c r="V61" s="173"/>
      <c r="W61" s="173"/>
      <c r="X61" s="173"/>
      <c r="Y61" s="173"/>
      <c r="Z61" s="173"/>
      <c r="AA61" s="20"/>
      <c r="AB61" s="48"/>
      <c r="AC61" s="4"/>
      <c r="AD61" s="5"/>
    </row>
    <row r="62" spans="1:30" x14ac:dyDescent="0.4">
      <c r="A62" s="46" t="s">
        <v>192</v>
      </c>
      <c r="B62" s="205" t="s">
        <v>177</v>
      </c>
      <c r="C62" s="174">
        <v>3333.6</v>
      </c>
      <c r="D62" s="174">
        <v>277.8</v>
      </c>
      <c r="E62" s="206" t="s">
        <v>19</v>
      </c>
      <c r="F62" s="174">
        <v>82.58</v>
      </c>
      <c r="G62" s="174">
        <v>56.49</v>
      </c>
      <c r="H62" s="174">
        <v>349.5</v>
      </c>
      <c r="I62" s="174">
        <v>1178.53</v>
      </c>
      <c r="J62" s="174">
        <v>58.95</v>
      </c>
      <c r="K62" s="174">
        <v>82.73</v>
      </c>
      <c r="L62" s="174">
        <v>157.62</v>
      </c>
      <c r="M62" s="174">
        <v>277.08999999999997</v>
      </c>
      <c r="N62" s="174">
        <v>42.95</v>
      </c>
      <c r="O62" s="174">
        <v>144.71</v>
      </c>
      <c r="P62" s="174">
        <v>83.42</v>
      </c>
      <c r="Q62" s="174">
        <v>126.62</v>
      </c>
      <c r="R62" s="174">
        <v>2641.19</v>
      </c>
      <c r="S62" s="21"/>
      <c r="T62" s="174">
        <v>164.91</v>
      </c>
      <c r="U62" s="174">
        <v>484.94</v>
      </c>
      <c r="V62" s="174">
        <v>1378.79</v>
      </c>
      <c r="W62" s="174">
        <v>129.4</v>
      </c>
      <c r="X62" s="174">
        <v>140.15</v>
      </c>
      <c r="Y62" s="174">
        <v>139.77000000000001</v>
      </c>
      <c r="Z62" s="174">
        <v>2437.96</v>
      </c>
      <c r="AA62" s="20"/>
      <c r="AB62" s="21">
        <f t="shared" ref="AB62:AB67" si="14">SUM(F62:K62)</f>
        <v>1808.78</v>
      </c>
      <c r="AC62" s="224">
        <f>+Z62-AB62</f>
        <v>629.18000000000006</v>
      </c>
      <c r="AD62" s="8">
        <f t="shared" si="3"/>
        <v>0.34784772056303148</v>
      </c>
    </row>
    <row r="63" spans="1:30" x14ac:dyDescent="0.4">
      <c r="A63" s="46" t="s">
        <v>194</v>
      </c>
      <c r="B63" s="205" t="s">
        <v>187</v>
      </c>
      <c r="C63" s="173"/>
      <c r="D63" s="174"/>
      <c r="E63" s="206" t="s">
        <v>19</v>
      </c>
      <c r="F63" s="173"/>
      <c r="G63" s="173"/>
      <c r="H63" s="174">
        <v>750</v>
      </c>
      <c r="I63" s="173"/>
      <c r="J63" s="173"/>
      <c r="K63" s="173"/>
      <c r="L63" s="173"/>
      <c r="M63" s="173"/>
      <c r="N63" s="173"/>
      <c r="O63" s="173"/>
      <c r="P63" s="174">
        <v>-574.04999999999995</v>
      </c>
      <c r="Q63" s="173"/>
      <c r="R63" s="174">
        <v>175.95</v>
      </c>
      <c r="S63" s="50"/>
      <c r="T63" s="173"/>
      <c r="U63" s="173"/>
      <c r="V63" s="173"/>
      <c r="W63" s="173"/>
      <c r="X63" s="173"/>
      <c r="Y63" s="173"/>
      <c r="Z63" s="173"/>
      <c r="AA63" s="48"/>
      <c r="AB63" s="21">
        <f t="shared" si="14"/>
        <v>750</v>
      </c>
      <c r="AC63" s="224">
        <f t="shared" ref="AC63:AC67" si="15">+Z63-AB63</f>
        <v>-750</v>
      </c>
      <c r="AD63" s="8">
        <f t="shared" ref="AD63:AD67" si="16">+AC63/AB63</f>
        <v>-1</v>
      </c>
    </row>
    <row r="64" spans="1:30" x14ac:dyDescent="0.4">
      <c r="A64" s="46" t="s">
        <v>198</v>
      </c>
      <c r="B64" s="205" t="s">
        <v>189</v>
      </c>
      <c r="C64" s="174">
        <v>3666.75</v>
      </c>
      <c r="D64" s="174">
        <v>305.5625</v>
      </c>
      <c r="E64" s="206" t="s">
        <v>19</v>
      </c>
      <c r="F64" s="173"/>
      <c r="G64" s="173"/>
      <c r="H64" s="173"/>
      <c r="I64" s="173"/>
      <c r="J64" s="173"/>
      <c r="K64" s="173"/>
      <c r="L64" s="173"/>
      <c r="M64" s="173"/>
      <c r="N64" s="173"/>
      <c r="O64" s="173"/>
      <c r="P64" s="173"/>
      <c r="Q64" s="173"/>
      <c r="R64" s="173"/>
      <c r="S64" s="21"/>
      <c r="T64" s="173"/>
      <c r="U64" s="173"/>
      <c r="V64" s="173"/>
      <c r="W64" s="173"/>
      <c r="X64" s="173"/>
      <c r="Y64" s="173"/>
      <c r="Z64" s="173"/>
      <c r="AA64" s="20"/>
      <c r="AB64" s="21">
        <f t="shared" si="14"/>
        <v>0</v>
      </c>
      <c r="AC64" s="224">
        <f t="shared" si="15"/>
        <v>0</v>
      </c>
      <c r="AD64" s="8" t="e">
        <f t="shared" si="16"/>
        <v>#DIV/0!</v>
      </c>
    </row>
    <row r="65" spans="1:30" x14ac:dyDescent="0.4">
      <c r="A65" s="46"/>
      <c r="B65" s="205" t="s">
        <v>193</v>
      </c>
      <c r="C65" s="173"/>
      <c r="D65" s="174"/>
      <c r="E65" s="206" t="s">
        <v>19</v>
      </c>
      <c r="F65" s="173"/>
      <c r="G65" s="173"/>
      <c r="H65" s="174">
        <v>3296.72</v>
      </c>
      <c r="I65" s="173"/>
      <c r="J65" s="173"/>
      <c r="K65" s="173"/>
      <c r="L65" s="173"/>
      <c r="M65" s="173"/>
      <c r="N65" s="173"/>
      <c r="O65" s="173"/>
      <c r="P65" s="173"/>
      <c r="Q65" s="173"/>
      <c r="R65" s="174">
        <v>3296.72</v>
      </c>
      <c r="S65" s="21"/>
      <c r="T65" s="173"/>
      <c r="U65" s="173"/>
      <c r="V65" s="174">
        <v>1237.04</v>
      </c>
      <c r="W65" s="173"/>
      <c r="X65" s="173"/>
      <c r="Y65" s="173"/>
      <c r="Z65" s="174">
        <v>1237.04</v>
      </c>
      <c r="AA65" s="20"/>
      <c r="AB65" s="21">
        <f t="shared" si="14"/>
        <v>3296.72</v>
      </c>
      <c r="AC65" s="224">
        <f t="shared" si="15"/>
        <v>-2059.6799999999998</v>
      </c>
      <c r="AD65" s="8">
        <f t="shared" si="16"/>
        <v>-0.62476643451673175</v>
      </c>
    </row>
    <row r="66" spans="1:30" x14ac:dyDescent="0.4">
      <c r="A66" s="46"/>
      <c r="B66" s="205" t="s">
        <v>195</v>
      </c>
      <c r="C66" s="174">
        <v>1655.6</v>
      </c>
      <c r="D66" s="174">
        <v>137.9666666666667</v>
      </c>
      <c r="E66" s="206" t="s">
        <v>19</v>
      </c>
      <c r="F66" s="173"/>
      <c r="G66" s="173"/>
      <c r="H66" s="174">
        <v>81</v>
      </c>
      <c r="I66" s="174">
        <v>303.5</v>
      </c>
      <c r="J66" s="173"/>
      <c r="K66" s="173"/>
      <c r="L66" s="173"/>
      <c r="M66" s="173"/>
      <c r="N66" s="173"/>
      <c r="O66" s="173"/>
      <c r="P66" s="173"/>
      <c r="Q66" s="173"/>
      <c r="R66" s="174">
        <v>384.5</v>
      </c>
      <c r="S66" s="21"/>
      <c r="T66" s="173"/>
      <c r="U66" s="173"/>
      <c r="V66" s="173"/>
      <c r="W66" s="173"/>
      <c r="X66" s="173"/>
      <c r="Y66" s="173"/>
      <c r="Z66" s="173"/>
      <c r="AA66" s="21"/>
      <c r="AB66" s="21">
        <f t="shared" si="14"/>
        <v>384.5</v>
      </c>
      <c r="AC66" s="224">
        <f t="shared" si="15"/>
        <v>-384.5</v>
      </c>
      <c r="AD66" s="8">
        <f t="shared" si="16"/>
        <v>-1</v>
      </c>
    </row>
    <row r="67" spans="1:30" x14ac:dyDescent="0.4">
      <c r="A67" s="46"/>
      <c r="B67" s="205" t="s">
        <v>199</v>
      </c>
      <c r="C67" s="175">
        <v>377.28</v>
      </c>
      <c r="D67" s="175">
        <v>31.44</v>
      </c>
      <c r="E67" s="206" t="s">
        <v>19</v>
      </c>
      <c r="F67" s="176"/>
      <c r="G67" s="176"/>
      <c r="H67" s="175">
        <v>580.95000000000005</v>
      </c>
      <c r="I67" s="176"/>
      <c r="J67" s="176"/>
      <c r="K67" s="176"/>
      <c r="L67" s="176"/>
      <c r="M67" s="176"/>
      <c r="N67" s="176"/>
      <c r="O67" s="176"/>
      <c r="P67" s="176"/>
      <c r="Q67" s="176"/>
      <c r="R67" s="175">
        <v>580.95000000000005</v>
      </c>
      <c r="S67" s="50"/>
      <c r="T67" s="176"/>
      <c r="U67" s="175">
        <v>713.27</v>
      </c>
      <c r="V67" s="176"/>
      <c r="W67" s="176"/>
      <c r="X67" s="176"/>
      <c r="Y67" s="176"/>
      <c r="Z67" s="175">
        <v>713.27</v>
      </c>
      <c r="AA67" s="21"/>
      <c r="AB67" s="216">
        <f t="shared" si="14"/>
        <v>580.95000000000005</v>
      </c>
      <c r="AC67" s="11">
        <f t="shared" si="15"/>
        <v>132.31999999999994</v>
      </c>
      <c r="AD67" s="12">
        <f t="shared" si="16"/>
        <v>0.22776486788880271</v>
      </c>
    </row>
    <row r="68" spans="1:30" x14ac:dyDescent="0.4">
      <c r="A68" s="46" t="s">
        <v>202</v>
      </c>
      <c r="B68" s="205" t="s">
        <v>200</v>
      </c>
      <c r="C68" s="175">
        <v>9033.23</v>
      </c>
      <c r="D68" s="175">
        <v>752.76916666666671</v>
      </c>
      <c r="E68" s="206" t="s">
        <v>19</v>
      </c>
      <c r="F68" s="175">
        <v>82.58</v>
      </c>
      <c r="G68" s="175">
        <v>56.49</v>
      </c>
      <c r="H68" s="175">
        <v>5058.17</v>
      </c>
      <c r="I68" s="175">
        <v>1482.03</v>
      </c>
      <c r="J68" s="175">
        <v>58.95</v>
      </c>
      <c r="K68" s="175">
        <v>82.73</v>
      </c>
      <c r="L68" s="175">
        <v>157.62</v>
      </c>
      <c r="M68" s="175">
        <v>277.08999999999997</v>
      </c>
      <c r="N68" s="175">
        <v>42.95</v>
      </c>
      <c r="O68" s="175">
        <v>144.71</v>
      </c>
      <c r="P68" s="175">
        <v>-490.63</v>
      </c>
      <c r="Q68" s="175">
        <v>126.62</v>
      </c>
      <c r="R68" s="175">
        <v>7079.31</v>
      </c>
      <c r="S68" s="50"/>
      <c r="T68" s="175">
        <v>164.91</v>
      </c>
      <c r="U68" s="175">
        <v>1198.21</v>
      </c>
      <c r="V68" s="175">
        <v>2615.83</v>
      </c>
      <c r="W68" s="175">
        <v>129.4</v>
      </c>
      <c r="X68" s="175">
        <v>140.15</v>
      </c>
      <c r="Y68" s="175">
        <v>139.77000000000001</v>
      </c>
      <c r="Z68" s="175">
        <v>4388.2700000000004</v>
      </c>
      <c r="AA68" s="48"/>
      <c r="AB68" s="51">
        <f>SUM(AB62:AB67)</f>
        <v>6820.95</v>
      </c>
      <c r="AC68" s="51">
        <f>SUM(AC62:AC67)</f>
        <v>-2432.6800000000003</v>
      </c>
      <c r="AD68" s="12">
        <f t="shared" ref="AD68:AD87" si="17">+AC68/AB68</f>
        <v>-0.35664826747007389</v>
      </c>
    </row>
    <row r="69" spans="1:30" x14ac:dyDescent="0.4">
      <c r="A69" s="46"/>
      <c r="B69" s="205"/>
      <c r="C69" s="173"/>
      <c r="D69" s="173"/>
      <c r="E69" s="206" t="s">
        <v>19</v>
      </c>
      <c r="F69" s="173"/>
      <c r="G69" s="173"/>
      <c r="H69" s="173"/>
      <c r="I69" s="173"/>
      <c r="J69" s="173"/>
      <c r="K69" s="173"/>
      <c r="L69" s="173"/>
      <c r="M69" s="173"/>
      <c r="N69" s="173"/>
      <c r="O69" s="173"/>
      <c r="P69" s="173"/>
      <c r="Q69" s="173"/>
      <c r="R69" s="173"/>
      <c r="S69" s="21"/>
      <c r="T69" s="173"/>
      <c r="U69" s="173"/>
      <c r="V69" s="173"/>
      <c r="W69" s="173"/>
      <c r="X69" s="173"/>
      <c r="Y69" s="173"/>
      <c r="Z69" s="173"/>
      <c r="AA69" s="48"/>
      <c r="AB69" s="48"/>
      <c r="AC69" s="4"/>
      <c r="AD69" s="5"/>
    </row>
    <row r="70" spans="1:30" x14ac:dyDescent="0.4">
      <c r="A70" s="46"/>
      <c r="B70" s="205" t="s">
        <v>201</v>
      </c>
      <c r="C70" s="173"/>
      <c r="D70" s="173"/>
      <c r="E70" s="206" t="s">
        <v>19</v>
      </c>
      <c r="F70" s="173"/>
      <c r="G70" s="173"/>
      <c r="H70" s="173"/>
      <c r="I70" s="173"/>
      <c r="J70" s="173"/>
      <c r="K70" s="173"/>
      <c r="L70" s="173"/>
      <c r="M70" s="173"/>
      <c r="N70" s="173"/>
      <c r="O70" s="173"/>
      <c r="P70" s="173"/>
      <c r="Q70" s="173"/>
      <c r="R70" s="173"/>
      <c r="S70" s="21"/>
      <c r="T70" s="173"/>
      <c r="U70" s="173"/>
      <c r="V70" s="173"/>
      <c r="W70" s="173"/>
      <c r="X70" s="173"/>
      <c r="Y70" s="173"/>
      <c r="Z70" s="173"/>
      <c r="AA70" s="50"/>
      <c r="AB70" s="48"/>
      <c r="AC70" s="4"/>
      <c r="AD70" s="5"/>
    </row>
    <row r="71" spans="1:30" x14ac:dyDescent="0.4">
      <c r="A71" s="46"/>
      <c r="B71" s="205" t="s">
        <v>203</v>
      </c>
      <c r="C71" s="175">
        <v>1176.25</v>
      </c>
      <c r="D71" s="175">
        <v>98.0208333333333</v>
      </c>
      <c r="E71" s="206" t="s">
        <v>19</v>
      </c>
      <c r="F71" s="176"/>
      <c r="G71" s="176"/>
      <c r="H71" s="176"/>
      <c r="I71" s="176"/>
      <c r="J71" s="176"/>
      <c r="K71" s="176"/>
      <c r="L71" s="176"/>
      <c r="M71" s="176"/>
      <c r="N71" s="176"/>
      <c r="O71" s="176"/>
      <c r="P71" s="176"/>
      <c r="Q71" s="176"/>
      <c r="R71" s="176"/>
      <c r="S71" s="50"/>
      <c r="T71" s="176"/>
      <c r="U71" s="176"/>
      <c r="V71" s="176"/>
      <c r="W71" s="176"/>
      <c r="X71" s="176"/>
      <c r="Y71" s="176"/>
      <c r="Z71" s="176"/>
      <c r="AA71" s="21"/>
      <c r="AB71" s="51">
        <f>SUM(F71:K71)</f>
        <v>0</v>
      </c>
      <c r="AC71" s="11">
        <f>+Z71-AB71</f>
        <v>0</v>
      </c>
      <c r="AD71" s="5" t="e">
        <f t="shared" si="17"/>
        <v>#DIV/0!</v>
      </c>
    </row>
    <row r="72" spans="1:30" x14ac:dyDescent="0.4">
      <c r="A72" s="46"/>
      <c r="B72" s="205" t="s">
        <v>206</v>
      </c>
      <c r="C72" s="175">
        <v>1176.25</v>
      </c>
      <c r="D72" s="175">
        <v>98.0208333333333</v>
      </c>
      <c r="E72" s="206" t="s">
        <v>19</v>
      </c>
      <c r="F72" s="175"/>
      <c r="G72" s="175"/>
      <c r="H72" s="175"/>
      <c r="I72" s="175"/>
      <c r="J72" s="175"/>
      <c r="K72" s="175"/>
      <c r="L72" s="175"/>
      <c r="M72" s="175"/>
      <c r="N72" s="175"/>
      <c r="O72" s="175"/>
      <c r="P72" s="175"/>
      <c r="Q72" s="175"/>
      <c r="R72" s="175"/>
      <c r="S72" s="21"/>
      <c r="T72" s="175"/>
      <c r="U72" s="175"/>
      <c r="V72" s="175"/>
      <c r="W72" s="175"/>
      <c r="X72" s="175"/>
      <c r="Y72" s="175"/>
      <c r="Z72" s="175"/>
      <c r="AA72" s="48"/>
      <c r="AB72" s="51">
        <f>SUM(AB71)</f>
        <v>0</v>
      </c>
      <c r="AC72" s="51">
        <f>SUM(AC71)</f>
        <v>0</v>
      </c>
      <c r="AD72" s="10" t="e">
        <f t="shared" si="17"/>
        <v>#DIV/0!</v>
      </c>
    </row>
    <row r="73" spans="1:30" x14ac:dyDescent="0.4">
      <c r="A73" s="46"/>
      <c r="B73" s="205"/>
      <c r="C73" s="173"/>
      <c r="D73" s="173"/>
      <c r="E73" s="206" t="s">
        <v>19</v>
      </c>
      <c r="F73" s="173"/>
      <c r="G73" s="173"/>
      <c r="H73" s="173"/>
      <c r="I73" s="173"/>
      <c r="J73" s="173"/>
      <c r="K73" s="173"/>
      <c r="L73" s="173"/>
      <c r="M73" s="173"/>
      <c r="N73" s="173"/>
      <c r="O73" s="173"/>
      <c r="P73" s="173"/>
      <c r="Q73" s="173"/>
      <c r="R73" s="173"/>
      <c r="S73" s="50"/>
      <c r="T73" s="173"/>
      <c r="U73" s="173"/>
      <c r="V73" s="173"/>
      <c r="W73" s="173"/>
      <c r="X73" s="173"/>
      <c r="Y73" s="173"/>
      <c r="Z73" s="173"/>
      <c r="AA73" s="21"/>
      <c r="AB73" s="48"/>
      <c r="AC73" s="4"/>
      <c r="AD73" s="5"/>
    </row>
    <row r="74" spans="1:30" x14ac:dyDescent="0.4">
      <c r="A74" s="46" t="s">
        <v>210</v>
      </c>
      <c r="B74" s="205" t="s">
        <v>207</v>
      </c>
      <c r="C74" s="175">
        <v>354021.69</v>
      </c>
      <c r="D74" s="175">
        <v>29501.807499999999</v>
      </c>
      <c r="E74" s="206" t="s">
        <v>19</v>
      </c>
      <c r="F74" s="175">
        <v>25197.18</v>
      </c>
      <c r="G74" s="175">
        <v>25748.77</v>
      </c>
      <c r="H74" s="175">
        <v>30471.54</v>
      </c>
      <c r="I74" s="175">
        <v>28997.360000000001</v>
      </c>
      <c r="J74" s="175">
        <v>25461.63</v>
      </c>
      <c r="K74" s="175">
        <v>24945.39</v>
      </c>
      <c r="L74" s="175">
        <v>25277.61</v>
      </c>
      <c r="M74" s="175">
        <v>25463.57</v>
      </c>
      <c r="N74" s="175">
        <v>24736.07</v>
      </c>
      <c r="O74" s="175">
        <v>24849.41</v>
      </c>
      <c r="P74" s="175">
        <v>24760.57</v>
      </c>
      <c r="Q74" s="175">
        <v>25811.88</v>
      </c>
      <c r="R74" s="175">
        <v>311720.98</v>
      </c>
      <c r="S74" s="50"/>
      <c r="T74" s="175">
        <v>25369.89</v>
      </c>
      <c r="U74" s="175">
        <v>26363.75</v>
      </c>
      <c r="V74" s="175">
        <v>27525.69</v>
      </c>
      <c r="W74" s="175">
        <v>25995.18</v>
      </c>
      <c r="X74" s="175">
        <v>31246.75</v>
      </c>
      <c r="Y74" s="175">
        <v>25358.79</v>
      </c>
      <c r="Z74" s="175">
        <v>161860.04999999999</v>
      </c>
      <c r="AA74" s="48"/>
      <c r="AB74" s="51">
        <f>SUM(F74:K74)</f>
        <v>160821.87</v>
      </c>
      <c r="AC74" s="11">
        <f>+Z74-AB74</f>
        <v>1038.179999999993</v>
      </c>
      <c r="AD74" s="12">
        <f t="shared" si="17"/>
        <v>6.4554652921272031E-3</v>
      </c>
    </row>
    <row r="75" spans="1:30" x14ac:dyDescent="0.4">
      <c r="A75" s="46" t="s">
        <v>214</v>
      </c>
      <c r="B75" s="205"/>
      <c r="C75" s="173"/>
      <c r="D75" s="173"/>
      <c r="E75" s="206" t="s">
        <v>19</v>
      </c>
      <c r="F75" s="173"/>
      <c r="G75" s="173"/>
      <c r="H75" s="173"/>
      <c r="I75" s="173"/>
      <c r="J75" s="173"/>
      <c r="K75" s="173"/>
      <c r="L75" s="173"/>
      <c r="M75" s="173"/>
      <c r="N75" s="173"/>
      <c r="O75" s="173"/>
      <c r="P75" s="173"/>
      <c r="Q75" s="173"/>
      <c r="R75" s="173"/>
      <c r="S75" s="21"/>
      <c r="T75" s="173"/>
      <c r="U75" s="173"/>
      <c r="V75" s="173"/>
      <c r="W75" s="173"/>
      <c r="X75" s="173"/>
      <c r="Y75" s="173"/>
      <c r="Z75" s="173"/>
      <c r="AA75" s="48"/>
      <c r="AB75" s="48"/>
      <c r="AC75" s="4"/>
      <c r="AD75" s="5"/>
    </row>
    <row r="76" spans="1:30" x14ac:dyDescent="0.4">
      <c r="A76" s="46" t="s">
        <v>218</v>
      </c>
      <c r="B76" s="205" t="s">
        <v>70</v>
      </c>
      <c r="C76" s="173"/>
      <c r="D76" s="173"/>
      <c r="E76" s="206" t="s">
        <v>19</v>
      </c>
      <c r="F76" s="173"/>
      <c r="G76" s="173"/>
      <c r="H76" s="173"/>
      <c r="I76" s="173"/>
      <c r="J76" s="173"/>
      <c r="K76" s="173"/>
      <c r="L76" s="173"/>
      <c r="M76" s="173"/>
      <c r="N76" s="173"/>
      <c r="O76" s="173"/>
      <c r="P76" s="173"/>
      <c r="Q76" s="173"/>
      <c r="R76" s="173"/>
      <c r="S76" s="21"/>
      <c r="T76" s="173"/>
      <c r="U76" s="173"/>
      <c r="V76" s="173"/>
      <c r="W76" s="173"/>
      <c r="X76" s="173"/>
      <c r="Y76" s="173"/>
      <c r="Z76" s="173"/>
      <c r="AA76" s="20"/>
      <c r="AB76" s="48"/>
      <c r="AC76" s="4"/>
      <c r="AD76" s="5"/>
    </row>
    <row r="77" spans="1:30" x14ac:dyDescent="0.4">
      <c r="A77" s="46" t="s">
        <v>222</v>
      </c>
      <c r="B77" s="205" t="s">
        <v>211</v>
      </c>
      <c r="C77" s="174">
        <v>-55464</v>
      </c>
      <c r="D77" s="174">
        <v>-4622</v>
      </c>
      <c r="E77" s="206" t="s">
        <v>19</v>
      </c>
      <c r="F77" s="174">
        <v>-4622</v>
      </c>
      <c r="G77" s="174">
        <v>-4622</v>
      </c>
      <c r="H77" s="174">
        <v>-4622</v>
      </c>
      <c r="I77" s="174">
        <v>-4622</v>
      </c>
      <c r="J77" s="174">
        <v>-4622</v>
      </c>
      <c r="K77" s="174">
        <v>-4622</v>
      </c>
      <c r="L77" s="174">
        <v>-4622</v>
      </c>
      <c r="M77" s="174">
        <v>-4622</v>
      </c>
      <c r="N77" s="174">
        <v>-4622</v>
      </c>
      <c r="O77" s="174">
        <v>-4622</v>
      </c>
      <c r="P77" s="174">
        <v>-4622</v>
      </c>
      <c r="Q77" s="174">
        <v>-4622</v>
      </c>
      <c r="R77" s="174">
        <v>-55464</v>
      </c>
      <c r="S77" s="21"/>
      <c r="T77" s="174">
        <v>-4622</v>
      </c>
      <c r="U77" s="174">
        <v>-4622</v>
      </c>
      <c r="V77" s="174">
        <v>-4622</v>
      </c>
      <c r="W77" s="174">
        <v>-4622</v>
      </c>
      <c r="X77" s="174">
        <v>-4622</v>
      </c>
      <c r="Y77" s="174">
        <v>-4622</v>
      </c>
      <c r="Z77" s="174">
        <v>-27732</v>
      </c>
      <c r="AA77" s="20"/>
      <c r="AB77" s="21">
        <f>SUM(F77:K77)</f>
        <v>-27732</v>
      </c>
      <c r="AC77" s="224">
        <f>+Z77-AB77</f>
        <v>0</v>
      </c>
      <c r="AD77" s="8">
        <f t="shared" si="17"/>
        <v>0</v>
      </c>
    </row>
    <row r="78" spans="1:30" x14ac:dyDescent="0.4">
      <c r="A78" s="46" t="s">
        <v>226</v>
      </c>
      <c r="B78" s="205" t="s">
        <v>215</v>
      </c>
      <c r="C78" s="174">
        <v>-58920</v>
      </c>
      <c r="D78" s="174">
        <v>-4910</v>
      </c>
      <c r="E78" s="206" t="s">
        <v>19</v>
      </c>
      <c r="F78" s="174">
        <v>-4910</v>
      </c>
      <c r="G78" s="174">
        <v>-4910</v>
      </c>
      <c r="H78" s="174">
        <v>-4910</v>
      </c>
      <c r="I78" s="174">
        <v>-4910</v>
      </c>
      <c r="J78" s="174">
        <v>-4910</v>
      </c>
      <c r="K78" s="174">
        <v>-4910</v>
      </c>
      <c r="L78" s="174">
        <v>-4910</v>
      </c>
      <c r="M78" s="174">
        <v>-4910</v>
      </c>
      <c r="N78" s="174">
        <v>-4910</v>
      </c>
      <c r="O78" s="174">
        <v>-4910</v>
      </c>
      <c r="P78" s="174">
        <v>-4910</v>
      </c>
      <c r="Q78" s="174">
        <v>-4910</v>
      </c>
      <c r="R78" s="174">
        <v>-58920</v>
      </c>
      <c r="S78" s="21"/>
      <c r="T78" s="174">
        <v>-4910</v>
      </c>
      <c r="U78" s="174">
        <v>-4910</v>
      </c>
      <c r="V78" s="174">
        <v>-4910</v>
      </c>
      <c r="W78" s="174">
        <v>-4910</v>
      </c>
      <c r="X78" s="174">
        <v>-4910</v>
      </c>
      <c r="Y78" s="174">
        <v>-4910</v>
      </c>
      <c r="Z78" s="174">
        <v>-29460</v>
      </c>
      <c r="AA78" s="20"/>
      <c r="AB78" s="21">
        <f>SUM(F78:K78)</f>
        <v>-29460</v>
      </c>
      <c r="AC78" s="224">
        <f t="shared" ref="AC78:AC81" si="18">+Z78-AB78</f>
        <v>0</v>
      </c>
      <c r="AD78" s="8">
        <f t="shared" ref="AD78:AD81" si="19">+AC78/AB78</f>
        <v>0</v>
      </c>
    </row>
    <row r="79" spans="1:30" x14ac:dyDescent="0.4">
      <c r="A79" s="46"/>
      <c r="B79" s="205" t="s">
        <v>219</v>
      </c>
      <c r="C79" s="174">
        <v>-19020</v>
      </c>
      <c r="D79" s="174">
        <v>-1585</v>
      </c>
      <c r="E79" s="206" t="s">
        <v>19</v>
      </c>
      <c r="F79" s="174">
        <v>-1585</v>
      </c>
      <c r="G79" s="174">
        <v>-1585</v>
      </c>
      <c r="H79" s="174">
        <v>-1585</v>
      </c>
      <c r="I79" s="174">
        <v>-1585</v>
      </c>
      <c r="J79" s="174">
        <v>-1585</v>
      </c>
      <c r="K79" s="174">
        <v>-1585</v>
      </c>
      <c r="L79" s="174">
        <v>-1585</v>
      </c>
      <c r="M79" s="174">
        <v>-1585</v>
      </c>
      <c r="N79" s="174">
        <v>-1585</v>
      </c>
      <c r="O79" s="174">
        <v>-1585</v>
      </c>
      <c r="P79" s="174">
        <v>-1585</v>
      </c>
      <c r="Q79" s="174">
        <v>-1585</v>
      </c>
      <c r="R79" s="174">
        <v>-19020</v>
      </c>
      <c r="S79" s="21"/>
      <c r="T79" s="174">
        <v>-1585</v>
      </c>
      <c r="U79" s="174">
        <v>-1585</v>
      </c>
      <c r="V79" s="174">
        <v>-1585</v>
      </c>
      <c r="W79" s="174">
        <v>-1585</v>
      </c>
      <c r="X79" s="174">
        <v>-1585</v>
      </c>
      <c r="Y79" s="174">
        <v>-1585</v>
      </c>
      <c r="Z79" s="174">
        <v>-9510</v>
      </c>
      <c r="AA79" s="20"/>
      <c r="AB79" s="21">
        <f>SUM(F79:K79)</f>
        <v>-9510</v>
      </c>
      <c r="AC79" s="224">
        <f t="shared" si="18"/>
        <v>0</v>
      </c>
      <c r="AD79" s="8">
        <f t="shared" si="19"/>
        <v>0</v>
      </c>
    </row>
    <row r="80" spans="1:30" x14ac:dyDescent="0.4">
      <c r="A80" s="46"/>
      <c r="B80" s="205" t="s">
        <v>223</v>
      </c>
      <c r="C80" s="174">
        <v>-50664</v>
      </c>
      <c r="D80" s="174">
        <v>-4222</v>
      </c>
      <c r="E80" s="206" t="s">
        <v>19</v>
      </c>
      <c r="F80" s="174">
        <v>-4222</v>
      </c>
      <c r="G80" s="174">
        <v>-4222</v>
      </c>
      <c r="H80" s="174">
        <v>-4222</v>
      </c>
      <c r="I80" s="174">
        <v>-4222</v>
      </c>
      <c r="J80" s="174">
        <v>-4222</v>
      </c>
      <c r="K80" s="174">
        <v>-4222</v>
      </c>
      <c r="L80" s="174">
        <v>-4222</v>
      </c>
      <c r="M80" s="174">
        <v>-4222</v>
      </c>
      <c r="N80" s="174">
        <v>-4222</v>
      </c>
      <c r="O80" s="174">
        <v>-4222</v>
      </c>
      <c r="P80" s="174">
        <v>-4222</v>
      </c>
      <c r="Q80" s="174">
        <v>-4222</v>
      </c>
      <c r="R80" s="174">
        <v>-50664</v>
      </c>
      <c r="S80" s="21"/>
      <c r="T80" s="174">
        <v>-4222</v>
      </c>
      <c r="U80" s="174">
        <v>-4222</v>
      </c>
      <c r="V80" s="174">
        <v>-4222</v>
      </c>
      <c r="W80" s="174">
        <v>-4222</v>
      </c>
      <c r="X80" s="174">
        <v>-4222</v>
      </c>
      <c r="Y80" s="174">
        <v>-4222</v>
      </c>
      <c r="Z80" s="174">
        <v>-25332</v>
      </c>
      <c r="AA80" s="21"/>
      <c r="AB80" s="21">
        <f>SUM(F80:K80)</f>
        <v>-25332</v>
      </c>
      <c r="AC80" s="224">
        <f t="shared" si="18"/>
        <v>0</v>
      </c>
      <c r="AD80" s="8">
        <f t="shared" si="19"/>
        <v>0</v>
      </c>
    </row>
    <row r="81" spans="1:30" x14ac:dyDescent="0.4">
      <c r="A81" s="46"/>
      <c r="B81" s="205" t="s">
        <v>227</v>
      </c>
      <c r="C81" s="175">
        <v>-24492</v>
      </c>
      <c r="D81" s="175">
        <v>-2041</v>
      </c>
      <c r="E81" s="206" t="s">
        <v>19</v>
      </c>
      <c r="F81" s="175">
        <v>-2041</v>
      </c>
      <c r="G81" s="175">
        <v>-2041</v>
      </c>
      <c r="H81" s="175">
        <v>-2041</v>
      </c>
      <c r="I81" s="175">
        <v>-2041</v>
      </c>
      <c r="J81" s="175">
        <v>-2041</v>
      </c>
      <c r="K81" s="175">
        <v>-2041</v>
      </c>
      <c r="L81" s="175">
        <v>-2041</v>
      </c>
      <c r="M81" s="175">
        <v>-2041</v>
      </c>
      <c r="N81" s="175">
        <v>-2041</v>
      </c>
      <c r="O81" s="175">
        <v>-2041</v>
      </c>
      <c r="P81" s="175">
        <v>-2041</v>
      </c>
      <c r="Q81" s="175">
        <v>-2041</v>
      </c>
      <c r="R81" s="175">
        <v>-24492</v>
      </c>
      <c r="S81" s="50"/>
      <c r="T81" s="175">
        <v>-2041</v>
      </c>
      <c r="U81" s="175">
        <v>-2041</v>
      </c>
      <c r="V81" s="175">
        <v>-2041</v>
      </c>
      <c r="W81" s="175">
        <v>-2041</v>
      </c>
      <c r="X81" s="175">
        <v>-2041</v>
      </c>
      <c r="Y81" s="175">
        <v>-2041</v>
      </c>
      <c r="Z81" s="175">
        <v>-12246</v>
      </c>
      <c r="AA81" s="21"/>
      <c r="AB81" s="216">
        <f>SUM(F81:K81)</f>
        <v>-12246</v>
      </c>
      <c r="AC81" s="11">
        <f t="shared" si="18"/>
        <v>0</v>
      </c>
      <c r="AD81" s="12">
        <f t="shared" si="19"/>
        <v>0</v>
      </c>
    </row>
    <row r="82" spans="1:30" x14ac:dyDescent="0.4">
      <c r="A82" s="46"/>
      <c r="B82" s="205" t="s">
        <v>70</v>
      </c>
      <c r="C82" s="175">
        <v>-208560</v>
      </c>
      <c r="D82" s="175">
        <v>-17380</v>
      </c>
      <c r="E82" s="206" t="s">
        <v>19</v>
      </c>
      <c r="F82" s="175">
        <v>-17380</v>
      </c>
      <c r="G82" s="175">
        <v>-17380</v>
      </c>
      <c r="H82" s="175">
        <v>-17380</v>
      </c>
      <c r="I82" s="175">
        <v>-17380</v>
      </c>
      <c r="J82" s="175">
        <v>-17380</v>
      </c>
      <c r="K82" s="175">
        <v>-17380</v>
      </c>
      <c r="L82" s="175">
        <v>-17380</v>
      </c>
      <c r="M82" s="175">
        <v>-17380</v>
      </c>
      <c r="N82" s="175">
        <v>-17380</v>
      </c>
      <c r="O82" s="175">
        <v>-17380</v>
      </c>
      <c r="P82" s="175">
        <v>-17380</v>
      </c>
      <c r="Q82" s="175">
        <v>-17380</v>
      </c>
      <c r="R82" s="175">
        <v>-208560</v>
      </c>
      <c r="S82" s="21"/>
      <c r="T82" s="175">
        <v>-17380</v>
      </c>
      <c r="U82" s="175">
        <v>-17380</v>
      </c>
      <c r="V82" s="175">
        <v>-17380</v>
      </c>
      <c r="W82" s="175">
        <v>-17380</v>
      </c>
      <c r="X82" s="175">
        <v>-17380</v>
      </c>
      <c r="Y82" s="175">
        <v>-17380</v>
      </c>
      <c r="Z82" s="175">
        <v>-104280</v>
      </c>
      <c r="AA82" s="50"/>
      <c r="AB82" s="51">
        <f>SUM(AB77:AB81)</f>
        <v>-104280</v>
      </c>
      <c r="AC82" s="51">
        <f>SUM(AC77:AC81)</f>
        <v>0</v>
      </c>
      <c r="AD82" s="12">
        <f t="shared" si="17"/>
        <v>0</v>
      </c>
    </row>
    <row r="83" spans="1:30" x14ac:dyDescent="0.4">
      <c r="A83" s="46"/>
      <c r="B83" s="205"/>
      <c r="C83" s="176"/>
      <c r="D83" s="176"/>
      <c r="E83" s="206" t="s">
        <v>19</v>
      </c>
      <c r="F83" s="176"/>
      <c r="G83" s="176"/>
      <c r="H83" s="176"/>
      <c r="I83" s="176"/>
      <c r="J83" s="176"/>
      <c r="K83" s="176"/>
      <c r="L83" s="176"/>
      <c r="M83" s="176"/>
      <c r="N83" s="176"/>
      <c r="O83" s="176"/>
      <c r="P83" s="176"/>
      <c r="Q83" s="176"/>
      <c r="R83" s="176"/>
      <c r="S83" s="50"/>
      <c r="T83" s="176"/>
      <c r="U83" s="176"/>
      <c r="V83" s="176"/>
      <c r="W83" s="176"/>
      <c r="X83" s="176"/>
      <c r="Y83" s="176"/>
      <c r="Z83" s="176"/>
      <c r="AA83" s="20"/>
      <c r="AB83" s="54"/>
      <c r="AC83" s="9"/>
      <c r="AD83" s="10"/>
    </row>
    <row r="84" spans="1:30" x14ac:dyDescent="0.4">
      <c r="A84" s="46"/>
      <c r="B84" s="205" t="s">
        <v>71</v>
      </c>
      <c r="C84" s="174">
        <v>145461.69</v>
      </c>
      <c r="D84" s="174">
        <v>12121.807500000001</v>
      </c>
      <c r="E84" s="206" t="s">
        <v>19</v>
      </c>
      <c r="F84" s="174">
        <v>7817.18</v>
      </c>
      <c r="G84" s="174">
        <v>8368.77</v>
      </c>
      <c r="H84" s="174">
        <v>13091.54</v>
      </c>
      <c r="I84" s="174">
        <v>11617.36</v>
      </c>
      <c r="J84" s="174">
        <v>8081.63</v>
      </c>
      <c r="K84" s="174">
        <v>7565.39</v>
      </c>
      <c r="L84" s="174">
        <v>7897.61</v>
      </c>
      <c r="M84" s="174">
        <v>8083.57</v>
      </c>
      <c r="N84" s="174">
        <v>7356.07</v>
      </c>
      <c r="O84" s="174">
        <v>7469.41</v>
      </c>
      <c r="P84" s="174">
        <v>7380.57</v>
      </c>
      <c r="Q84" s="174">
        <v>8431.8799999999992</v>
      </c>
      <c r="R84" s="174">
        <v>103160.98</v>
      </c>
      <c r="S84" s="50"/>
      <c r="T84" s="174">
        <v>7989.89</v>
      </c>
      <c r="U84" s="174">
        <v>8983.75</v>
      </c>
      <c r="V84" s="174">
        <v>10145.69</v>
      </c>
      <c r="W84" s="174">
        <v>8615.18</v>
      </c>
      <c r="X84" s="174">
        <v>13866.75</v>
      </c>
      <c r="Y84" s="174">
        <v>7978.79</v>
      </c>
      <c r="Z84" s="174">
        <v>57580.05</v>
      </c>
      <c r="AA84" s="48"/>
      <c r="AB84" s="20">
        <f>SUM(F84:K84)</f>
        <v>56541.87</v>
      </c>
      <c r="AC84" s="4">
        <f>+Z84-AB84</f>
        <v>1038.1800000000003</v>
      </c>
      <c r="AD84" s="5">
        <f t="shared" si="17"/>
        <v>1.8361260425238859E-2</v>
      </c>
    </row>
    <row r="85" spans="1:30" x14ac:dyDescent="0.4">
      <c r="A85" s="46"/>
      <c r="B85" s="205"/>
      <c r="C85" s="173"/>
      <c r="D85" s="173"/>
      <c r="E85" s="206" t="s">
        <v>19</v>
      </c>
      <c r="F85" s="173"/>
      <c r="G85" s="173"/>
      <c r="H85" s="173"/>
      <c r="I85" s="173"/>
      <c r="J85" s="173"/>
      <c r="K85" s="173"/>
      <c r="L85" s="173"/>
      <c r="M85" s="173"/>
      <c r="N85" s="173"/>
      <c r="O85" s="173"/>
      <c r="P85" s="173"/>
      <c r="Q85" s="173"/>
      <c r="R85" s="173"/>
      <c r="S85" s="21"/>
      <c r="T85" s="173"/>
      <c r="U85" s="173"/>
      <c r="V85" s="173"/>
      <c r="W85" s="173"/>
      <c r="X85" s="173"/>
      <c r="Y85" s="173"/>
      <c r="Z85" s="173"/>
      <c r="AA85" s="50"/>
      <c r="AB85" s="48"/>
      <c r="AC85" s="4"/>
      <c r="AD85" s="5"/>
    </row>
    <row r="86" spans="1:30" x14ac:dyDescent="0.4">
      <c r="A86" s="46"/>
      <c r="B86" s="205"/>
      <c r="C86" s="176"/>
      <c r="D86" s="176"/>
      <c r="E86" s="206" t="s">
        <v>19</v>
      </c>
      <c r="F86" s="176"/>
      <c r="G86" s="176"/>
      <c r="H86" s="176"/>
      <c r="I86" s="176"/>
      <c r="J86" s="176"/>
      <c r="K86" s="176"/>
      <c r="L86" s="176"/>
      <c r="M86" s="176"/>
      <c r="N86" s="176"/>
      <c r="O86" s="176"/>
      <c r="P86" s="176"/>
      <c r="Q86" s="176"/>
      <c r="R86" s="176"/>
      <c r="S86" s="50"/>
      <c r="T86" s="176"/>
      <c r="U86" s="176"/>
      <c r="V86" s="176"/>
      <c r="W86" s="176"/>
      <c r="X86" s="176"/>
      <c r="Y86" s="176"/>
      <c r="Z86" s="176"/>
      <c r="AA86" s="21"/>
      <c r="AB86" s="54"/>
      <c r="AC86" s="4"/>
      <c r="AD86" s="5"/>
    </row>
    <row r="87" spans="1:30" ht="15" thickBot="1" x14ac:dyDescent="0.45">
      <c r="A87" s="46"/>
      <c r="B87" s="205" t="s">
        <v>228</v>
      </c>
      <c r="C87" s="177">
        <v>6196.71</v>
      </c>
      <c r="D87" s="177">
        <v>516.39250000000004</v>
      </c>
      <c r="E87" s="206" t="s">
        <v>19</v>
      </c>
      <c r="F87" s="177">
        <v>-5938.08</v>
      </c>
      <c r="G87" s="177">
        <v>12810.12</v>
      </c>
      <c r="H87" s="177">
        <v>43820.78</v>
      </c>
      <c r="I87" s="177">
        <v>372.64</v>
      </c>
      <c r="J87" s="177">
        <v>-3180.83</v>
      </c>
      <c r="K87" s="177">
        <v>-2874.86</v>
      </c>
      <c r="L87" s="177">
        <v>3610.97</v>
      </c>
      <c r="M87" s="177">
        <v>-6835.75</v>
      </c>
      <c r="N87" s="177">
        <v>-5490.36</v>
      </c>
      <c r="O87" s="177">
        <v>-4591.93</v>
      </c>
      <c r="P87" s="177">
        <v>-1785.93</v>
      </c>
      <c r="Q87" s="177">
        <v>4447.01</v>
      </c>
      <c r="R87" s="177">
        <v>34363.78</v>
      </c>
      <c r="S87" s="50"/>
      <c r="T87" s="177">
        <v>-2284.8000000000002</v>
      </c>
      <c r="U87" s="177">
        <v>60563.13</v>
      </c>
      <c r="V87" s="177">
        <v>3898.2</v>
      </c>
      <c r="W87" s="177">
        <v>42622.5</v>
      </c>
      <c r="X87" s="177">
        <v>-11121.52</v>
      </c>
      <c r="Y87" s="177">
        <v>2361.9899999999998</v>
      </c>
      <c r="Z87" s="177">
        <v>96039.5</v>
      </c>
      <c r="AA87" s="48"/>
      <c r="AB87" s="55">
        <f>SUM(F87:K87)</f>
        <v>45009.77</v>
      </c>
      <c r="AC87" s="13">
        <f>+Z87-AB87</f>
        <v>51029.73</v>
      </c>
      <c r="AD87" s="14">
        <f t="shared" si="17"/>
        <v>1.1337478507444052</v>
      </c>
    </row>
    <row r="88" spans="1:30" ht="15" thickTop="1" x14ac:dyDescent="0.4">
      <c r="A88" s="46"/>
      <c r="B88" s="205"/>
      <c r="C88" s="173"/>
      <c r="D88" s="173"/>
      <c r="E88" s="206" t="s">
        <v>19</v>
      </c>
      <c r="F88" s="173"/>
      <c r="G88" s="173"/>
      <c r="H88" s="173"/>
      <c r="I88" s="173"/>
      <c r="J88" s="173"/>
      <c r="K88" s="173"/>
      <c r="L88" s="173"/>
      <c r="M88" s="173"/>
      <c r="N88" s="173"/>
      <c r="O88" s="173"/>
      <c r="P88" s="173"/>
      <c r="Q88" s="173"/>
      <c r="R88" s="173"/>
      <c r="S88" s="50"/>
      <c r="T88" s="173"/>
      <c r="U88" s="173"/>
      <c r="V88" s="173"/>
      <c r="W88" s="173"/>
      <c r="X88" s="173"/>
      <c r="Y88" s="173"/>
      <c r="Z88" s="173"/>
      <c r="AA88" s="48"/>
      <c r="AB88" s="48"/>
      <c r="AC88" s="5"/>
    </row>
    <row r="89" spans="1:30" x14ac:dyDescent="0.4">
      <c r="A89" s="46"/>
      <c r="B89" s="205"/>
      <c r="C89" s="173"/>
      <c r="D89" s="173"/>
      <c r="E89" s="206" t="s">
        <v>19</v>
      </c>
      <c r="F89" s="173"/>
      <c r="G89" s="173"/>
      <c r="H89" s="173"/>
      <c r="I89" s="173"/>
      <c r="J89" s="173"/>
      <c r="K89" s="173"/>
      <c r="L89" s="173"/>
      <c r="M89" s="173"/>
      <c r="N89" s="173"/>
      <c r="O89" s="173"/>
      <c r="P89" s="173"/>
      <c r="Q89" s="173"/>
      <c r="R89" s="173"/>
      <c r="AA89" s="48"/>
      <c r="AB89" s="4"/>
      <c r="AC89" s="5"/>
    </row>
    <row r="90" spans="1:30" x14ac:dyDescent="0.4">
      <c r="A90" s="46"/>
      <c r="B90" s="205"/>
      <c r="C90" s="173"/>
      <c r="D90" s="173"/>
      <c r="E90" s="206" t="s">
        <v>19</v>
      </c>
      <c r="F90" s="173"/>
      <c r="G90" s="173"/>
      <c r="H90" s="173"/>
      <c r="I90" s="173"/>
      <c r="J90" s="173"/>
      <c r="K90" s="173"/>
      <c r="L90" s="173"/>
      <c r="M90" s="173"/>
      <c r="N90" s="173"/>
      <c r="O90" s="173"/>
      <c r="P90" s="173"/>
      <c r="Q90" s="173"/>
      <c r="R90" s="173"/>
      <c r="AB90" s="4"/>
      <c r="AC90" s="5"/>
    </row>
    <row r="91" spans="1:30" x14ac:dyDescent="0.4">
      <c r="AB91" s="4"/>
      <c r="AC91" s="5"/>
    </row>
    <row r="92" spans="1:30" x14ac:dyDescent="0.4">
      <c r="AB92" s="4"/>
      <c r="AC92" s="5"/>
    </row>
    <row r="93" spans="1:30" x14ac:dyDescent="0.4">
      <c r="AB93" s="4"/>
      <c r="AC93" s="5"/>
    </row>
    <row r="94" spans="1:30" x14ac:dyDescent="0.4">
      <c r="AB94" s="4"/>
      <c r="AC94" s="5"/>
    </row>
    <row r="95" spans="1:30" x14ac:dyDescent="0.4">
      <c r="AB95" s="4"/>
      <c r="AC95" s="5"/>
    </row>
    <row r="96" spans="1:30" x14ac:dyDescent="0.4">
      <c r="AB96" s="4"/>
      <c r="AC96" s="5"/>
    </row>
    <row r="97" spans="28:29" x14ac:dyDescent="0.4">
      <c r="AB97" s="4"/>
      <c r="AC97" s="5"/>
    </row>
    <row r="98" spans="28:29" x14ac:dyDescent="0.4">
      <c r="AB98" s="4"/>
      <c r="AC98" s="5"/>
    </row>
    <row r="99" spans="28:29" x14ac:dyDescent="0.4">
      <c r="AB99" s="4"/>
      <c r="AC99" s="5"/>
    </row>
    <row r="100" spans="28:29" x14ac:dyDescent="0.4">
      <c r="AB100" s="4"/>
      <c r="AC100" s="5"/>
    </row>
    <row r="101" spans="28:29" x14ac:dyDescent="0.4">
      <c r="AB101" s="4"/>
      <c r="AC101" s="5"/>
    </row>
    <row r="102" spans="28:29" x14ac:dyDescent="0.4">
      <c r="AB102" s="4"/>
      <c r="AC102" s="5"/>
    </row>
    <row r="103" spans="28:29" x14ac:dyDescent="0.4">
      <c r="AB103" s="4"/>
      <c r="AC103" s="5"/>
    </row>
    <row r="104" spans="28:29" x14ac:dyDescent="0.4">
      <c r="AB104" s="4"/>
      <c r="AC104" s="5"/>
    </row>
    <row r="105" spans="28:29" x14ac:dyDescent="0.4">
      <c r="AB105" s="4"/>
      <c r="AC105" s="5"/>
    </row>
    <row r="106" spans="28:29" x14ac:dyDescent="0.4">
      <c r="AB106" s="4"/>
      <c r="AC106" s="5"/>
    </row>
    <row r="107" spans="28:29" x14ac:dyDescent="0.4">
      <c r="AB107" s="4"/>
      <c r="AC107" s="5"/>
    </row>
    <row r="108" spans="28:29" x14ac:dyDescent="0.4">
      <c r="AB108" s="4"/>
      <c r="AC108" s="5"/>
    </row>
    <row r="109" spans="28:29" x14ac:dyDescent="0.4">
      <c r="AB109" s="4"/>
      <c r="AC109" s="5"/>
    </row>
    <row r="110" spans="28:29" x14ac:dyDescent="0.4">
      <c r="AB110" s="4"/>
      <c r="AC110" s="5"/>
    </row>
    <row r="111" spans="28:29" x14ac:dyDescent="0.4">
      <c r="AB111" s="4"/>
      <c r="AC111" s="5"/>
    </row>
    <row r="112" spans="28:29" x14ac:dyDescent="0.4">
      <c r="AB112" s="4"/>
      <c r="AC112" s="5"/>
    </row>
    <row r="113" spans="28:29" x14ac:dyDescent="0.4">
      <c r="AB113" s="4"/>
      <c r="AC113" s="5"/>
    </row>
    <row r="114" spans="28:29" x14ac:dyDescent="0.4">
      <c r="AB114" s="4"/>
      <c r="AC114" s="5"/>
    </row>
    <row r="115" spans="28:29" x14ac:dyDescent="0.4">
      <c r="AB115" s="4"/>
      <c r="AC115" s="5"/>
    </row>
    <row r="116" spans="28:29" x14ac:dyDescent="0.4">
      <c r="AB116" s="4"/>
      <c r="AC116" s="5"/>
    </row>
    <row r="117" spans="28:29" x14ac:dyDescent="0.4">
      <c r="AB117" s="4"/>
      <c r="AC117" s="5"/>
    </row>
    <row r="118" spans="28:29" x14ac:dyDescent="0.4">
      <c r="AB118" s="4"/>
      <c r="AC118" s="5"/>
    </row>
    <row r="119" spans="28:29" x14ac:dyDescent="0.4">
      <c r="AB119" s="4"/>
      <c r="AC119" s="5"/>
    </row>
    <row r="120" spans="28:29" x14ac:dyDescent="0.4">
      <c r="AB120" s="4"/>
      <c r="AC120" s="5"/>
    </row>
    <row r="121" spans="28:29" x14ac:dyDescent="0.4">
      <c r="AB121" s="4"/>
      <c r="AC121" s="5"/>
    </row>
    <row r="122" spans="28:29" x14ac:dyDescent="0.4">
      <c r="AB122" s="4"/>
      <c r="AC122" s="5"/>
    </row>
    <row r="123" spans="28:29" x14ac:dyDescent="0.4">
      <c r="AB123" s="4"/>
      <c r="AC123" s="5"/>
    </row>
    <row r="124" spans="28:29" x14ac:dyDescent="0.4">
      <c r="AB124" s="4"/>
      <c r="AC124" s="5"/>
    </row>
    <row r="125" spans="28:29" x14ac:dyDescent="0.4">
      <c r="AB125" s="4"/>
      <c r="AC125" s="5"/>
    </row>
    <row r="126" spans="28:29" x14ac:dyDescent="0.4">
      <c r="AB126" s="4"/>
      <c r="AC126" s="5"/>
    </row>
    <row r="127" spans="28:29" x14ac:dyDescent="0.4">
      <c r="AB127" s="4"/>
      <c r="AC127" s="5"/>
    </row>
    <row r="128" spans="28:29" x14ac:dyDescent="0.4">
      <c r="AB128" s="4"/>
      <c r="AC128" s="5"/>
    </row>
    <row r="129" spans="28:29" x14ac:dyDescent="0.4">
      <c r="AB129" s="4"/>
      <c r="AC129" s="5"/>
    </row>
    <row r="130" spans="28:29" x14ac:dyDescent="0.4">
      <c r="AB130" s="4"/>
      <c r="AC130" s="5"/>
    </row>
    <row r="131" spans="28:29" x14ac:dyDescent="0.4">
      <c r="AB131" s="4"/>
      <c r="AC131" s="5"/>
    </row>
    <row r="132" spans="28:29" x14ac:dyDescent="0.4">
      <c r="AB132" s="4"/>
      <c r="AC132" s="5"/>
    </row>
    <row r="133" spans="28:29" x14ac:dyDescent="0.4">
      <c r="AB133" s="4"/>
      <c r="AC133" s="5"/>
    </row>
    <row r="134" spans="28:29" x14ac:dyDescent="0.4">
      <c r="AB134" s="4"/>
      <c r="AC134" s="5"/>
    </row>
    <row r="135" spans="28:29" x14ac:dyDescent="0.4">
      <c r="AB135" s="4"/>
      <c r="AC135" s="5"/>
    </row>
    <row r="136" spans="28:29" x14ac:dyDescent="0.4">
      <c r="AB136" s="4"/>
      <c r="AC136" s="5"/>
    </row>
    <row r="137" spans="28:29" x14ac:dyDescent="0.4">
      <c r="AB137" s="4"/>
      <c r="AC137" s="5"/>
    </row>
    <row r="138" spans="28:29" x14ac:dyDescent="0.4">
      <c r="AB138" s="4"/>
      <c r="AC138" s="5"/>
    </row>
    <row r="139" spans="28:29" x14ac:dyDescent="0.4">
      <c r="AB139" s="4"/>
      <c r="AC139" s="5"/>
    </row>
    <row r="140" spans="28:29" x14ac:dyDescent="0.4">
      <c r="AB140" s="4"/>
      <c r="AC140" s="5"/>
    </row>
    <row r="141" spans="28:29" x14ac:dyDescent="0.4">
      <c r="AB141" s="4"/>
      <c r="AC141" s="5"/>
    </row>
    <row r="142" spans="28:29" x14ac:dyDescent="0.4">
      <c r="AB142" s="4"/>
      <c r="AC142" s="5"/>
    </row>
    <row r="143" spans="28:29" x14ac:dyDescent="0.4">
      <c r="AB143" s="4"/>
      <c r="AC143" s="5"/>
    </row>
    <row r="144" spans="28:29" x14ac:dyDescent="0.4">
      <c r="AB144" s="4"/>
      <c r="AC144" s="5"/>
    </row>
    <row r="145" spans="28:29" x14ac:dyDescent="0.4">
      <c r="AB145" s="4"/>
      <c r="AC145" s="5"/>
    </row>
    <row r="146" spans="28:29" x14ac:dyDescent="0.4">
      <c r="AB146" s="4"/>
      <c r="AC146" s="5"/>
    </row>
    <row r="147" spans="28:29" x14ac:dyDescent="0.4">
      <c r="AB147" s="4"/>
      <c r="AC147" s="5"/>
    </row>
    <row r="148" spans="28:29" x14ac:dyDescent="0.4">
      <c r="AB148" s="4"/>
      <c r="AC148" s="5"/>
    </row>
    <row r="149" spans="28:29" x14ac:dyDescent="0.4">
      <c r="AB149" s="4"/>
      <c r="AC149" s="5"/>
    </row>
    <row r="150" spans="28:29" x14ac:dyDescent="0.4">
      <c r="AB150" s="4"/>
      <c r="AC150" s="5"/>
    </row>
    <row r="151" spans="28:29" x14ac:dyDescent="0.4">
      <c r="AB151" s="4"/>
      <c r="AC151" s="5"/>
    </row>
    <row r="152" spans="28:29" x14ac:dyDescent="0.4">
      <c r="AB152" s="4"/>
      <c r="AC152" s="5"/>
    </row>
    <row r="153" spans="28:29" x14ac:dyDescent="0.4">
      <c r="AB153" s="4"/>
      <c r="AC153" s="5"/>
    </row>
    <row r="154" spans="28:29" x14ac:dyDescent="0.4">
      <c r="AB154" s="4"/>
      <c r="AC154" s="5"/>
    </row>
    <row r="155" spans="28:29" x14ac:dyDescent="0.4">
      <c r="AB155" s="4"/>
      <c r="AC155" s="5"/>
    </row>
    <row r="156" spans="28:29" x14ac:dyDescent="0.4">
      <c r="AB156" s="4"/>
      <c r="AC156" s="5"/>
    </row>
    <row r="157" spans="28:29" x14ac:dyDescent="0.4">
      <c r="AB157" s="4"/>
      <c r="AC157" s="5"/>
    </row>
    <row r="158" spans="28:29" x14ac:dyDescent="0.4">
      <c r="AB158" s="4"/>
      <c r="AC158" s="5"/>
    </row>
    <row r="159" spans="28:29" x14ac:dyDescent="0.4">
      <c r="AB159" s="4"/>
      <c r="AC159" s="5"/>
    </row>
    <row r="160" spans="28:29" x14ac:dyDescent="0.4">
      <c r="AB160" s="4"/>
      <c r="AC160" s="5"/>
    </row>
    <row r="161" spans="28:29" x14ac:dyDescent="0.4">
      <c r="AB161" s="4"/>
      <c r="AC161" s="5"/>
    </row>
    <row r="162" spans="28:29" x14ac:dyDescent="0.4">
      <c r="AB162" s="4"/>
      <c r="AC162" s="5"/>
    </row>
    <row r="163" spans="28:29" x14ac:dyDescent="0.4">
      <c r="AB163" s="4"/>
      <c r="AC163" s="5"/>
    </row>
    <row r="164" spans="28:29" x14ac:dyDescent="0.4">
      <c r="AB164" s="4"/>
      <c r="AC164" s="5"/>
    </row>
    <row r="165" spans="28:29" x14ac:dyDescent="0.4">
      <c r="AB165" s="4"/>
      <c r="AC165" s="5"/>
    </row>
    <row r="166" spans="28:29" x14ac:dyDescent="0.4">
      <c r="AB166" s="4"/>
      <c r="AC166" s="5"/>
    </row>
    <row r="167" spans="28:29" x14ac:dyDescent="0.4">
      <c r="AB167" s="4"/>
      <c r="AC167" s="5"/>
    </row>
    <row r="168" spans="28:29" x14ac:dyDescent="0.4">
      <c r="AB168" s="4"/>
      <c r="AC168" s="5"/>
    </row>
    <row r="169" spans="28:29" x14ac:dyDescent="0.4">
      <c r="AB169" s="4"/>
      <c r="AC169" s="5"/>
    </row>
    <row r="170" spans="28:29" x14ac:dyDescent="0.4">
      <c r="AB170" s="4"/>
      <c r="AC170" s="5"/>
    </row>
    <row r="171" spans="28:29" x14ac:dyDescent="0.4">
      <c r="AB171" s="4"/>
      <c r="AC171" s="5"/>
    </row>
    <row r="172" spans="28:29" x14ac:dyDescent="0.4">
      <c r="AB172" s="4"/>
      <c r="AC172" s="5"/>
    </row>
    <row r="173" spans="28:29" x14ac:dyDescent="0.4">
      <c r="AB173" s="4"/>
      <c r="AC173" s="5"/>
    </row>
    <row r="174" spans="28:29" x14ac:dyDescent="0.4">
      <c r="AB174" s="4"/>
      <c r="AC174" s="5"/>
    </row>
    <row r="175" spans="28:29" x14ac:dyDescent="0.4">
      <c r="AB175" s="4"/>
      <c r="AC175" s="5"/>
    </row>
    <row r="176" spans="28:29" x14ac:dyDescent="0.4">
      <c r="AB176" s="4"/>
      <c r="AC176" s="5"/>
    </row>
    <row r="177" spans="28:29" x14ac:dyDescent="0.4">
      <c r="AB177" s="4"/>
      <c r="AC177" s="5"/>
    </row>
    <row r="178" spans="28:29" x14ac:dyDescent="0.4">
      <c r="AB178" s="4"/>
      <c r="AC178" s="5"/>
    </row>
    <row r="179" spans="28:29" x14ac:dyDescent="0.4">
      <c r="AB179" s="4"/>
      <c r="AC179" s="5"/>
    </row>
    <row r="180" spans="28:29" x14ac:dyDescent="0.4">
      <c r="AB180" s="4"/>
      <c r="AC180" s="5"/>
    </row>
    <row r="181" spans="28:29" x14ac:dyDescent="0.4">
      <c r="AB181" s="4"/>
      <c r="AC181" s="5"/>
    </row>
    <row r="182" spans="28:29" x14ac:dyDescent="0.4">
      <c r="AB182" s="4"/>
      <c r="AC182" s="5"/>
    </row>
    <row r="183" spans="28:29" x14ac:dyDescent="0.4">
      <c r="AB183" s="4"/>
      <c r="AC183" s="5"/>
    </row>
    <row r="184" spans="28:29" x14ac:dyDescent="0.4">
      <c r="AB184" s="4"/>
      <c r="AC184" s="5"/>
    </row>
    <row r="185" spans="28:29" x14ac:dyDescent="0.4">
      <c r="AB185" s="4"/>
      <c r="AC185" s="5"/>
    </row>
    <row r="186" spans="28:29" x14ac:dyDescent="0.4">
      <c r="AB186" s="4"/>
      <c r="AC186" s="5"/>
    </row>
    <row r="187" spans="28:29" x14ac:dyDescent="0.4">
      <c r="AB187" s="4"/>
      <c r="AC187" s="5"/>
    </row>
    <row r="188" spans="28:29" x14ac:dyDescent="0.4">
      <c r="AB188" s="4"/>
      <c r="AC188" s="5"/>
    </row>
    <row r="189" spans="28:29" x14ac:dyDescent="0.4">
      <c r="AB189" s="4"/>
      <c r="AC189" s="5"/>
    </row>
    <row r="190" spans="28:29" x14ac:dyDescent="0.4">
      <c r="AB190" s="4"/>
      <c r="AC190" s="5"/>
    </row>
    <row r="191" spans="28:29" x14ac:dyDescent="0.4">
      <c r="AB191" s="4"/>
      <c r="AC191" s="5"/>
    </row>
    <row r="192" spans="28:29" x14ac:dyDescent="0.4">
      <c r="AB192" s="4"/>
      <c r="AC192" s="5"/>
    </row>
    <row r="193" spans="28:29" x14ac:dyDescent="0.4">
      <c r="AB193" s="4"/>
      <c r="AC193" s="5"/>
    </row>
    <row r="194" spans="28:29" x14ac:dyDescent="0.4">
      <c r="AB194" s="4"/>
      <c r="AC194" s="5"/>
    </row>
    <row r="195" spans="28:29" x14ac:dyDescent="0.4">
      <c r="AB195" s="4"/>
      <c r="AC195" s="5"/>
    </row>
    <row r="196" spans="28:29" x14ac:dyDescent="0.4">
      <c r="AB196" s="4"/>
      <c r="AC196" s="5"/>
    </row>
    <row r="197" spans="28:29" x14ac:dyDescent="0.4">
      <c r="AB197" s="4"/>
      <c r="AC197" s="5"/>
    </row>
    <row r="198" spans="28:29" x14ac:dyDescent="0.4">
      <c r="AB198" s="4"/>
      <c r="AC198" s="5"/>
    </row>
    <row r="199" spans="28:29" x14ac:dyDescent="0.4">
      <c r="AB199" s="4"/>
      <c r="AC199" s="5"/>
    </row>
    <row r="200" spans="28:29" x14ac:dyDescent="0.4">
      <c r="AB200" s="4"/>
      <c r="AC200" s="5"/>
    </row>
    <row r="201" spans="28:29" x14ac:dyDescent="0.4">
      <c r="AB201" s="4"/>
      <c r="AC201" s="5"/>
    </row>
    <row r="202" spans="28:29" x14ac:dyDescent="0.4">
      <c r="AB202" s="4"/>
      <c r="AC202" s="5"/>
    </row>
    <row r="203" spans="28:29" x14ac:dyDescent="0.4">
      <c r="AB203" s="4"/>
      <c r="AC203" s="5"/>
    </row>
    <row r="204" spans="28:29" x14ac:dyDescent="0.4">
      <c r="AB204" s="4"/>
      <c r="AC204" s="5"/>
    </row>
    <row r="205" spans="28:29" x14ac:dyDescent="0.4">
      <c r="AB205" s="4"/>
      <c r="AC205" s="5"/>
    </row>
    <row r="206" spans="28:29" x14ac:dyDescent="0.4">
      <c r="AB206" s="4"/>
      <c r="AC206" s="5"/>
    </row>
    <row r="207" spans="28:29" x14ac:dyDescent="0.4">
      <c r="AB207" s="4"/>
      <c r="AC207" s="5"/>
    </row>
    <row r="208" spans="28:29" x14ac:dyDescent="0.4">
      <c r="AB208" s="4"/>
      <c r="AC208" s="5"/>
    </row>
    <row r="209" spans="28:29" x14ac:dyDescent="0.4">
      <c r="AB209" s="4"/>
      <c r="AC209" s="5"/>
    </row>
    <row r="210" spans="28:29" x14ac:dyDescent="0.4">
      <c r="AB210" s="4"/>
      <c r="AC210" s="5"/>
    </row>
    <row r="211" spans="28:29" x14ac:dyDescent="0.4">
      <c r="AB211" s="4"/>
      <c r="AC211" s="5"/>
    </row>
    <row r="212" spans="28:29" x14ac:dyDescent="0.4">
      <c r="AB212" s="4"/>
      <c r="AC212" s="5"/>
    </row>
    <row r="213" spans="28:29" x14ac:dyDescent="0.4">
      <c r="AB213" s="4"/>
      <c r="AC213" s="5"/>
    </row>
    <row r="214" spans="28:29" x14ac:dyDescent="0.4">
      <c r="AB214" s="4"/>
      <c r="AC214" s="5"/>
    </row>
    <row r="215" spans="28:29" x14ac:dyDescent="0.4">
      <c r="AB215" s="4"/>
      <c r="AC215" s="5"/>
    </row>
    <row r="216" spans="28:29" x14ac:dyDescent="0.4">
      <c r="AB216" s="4"/>
      <c r="AC216" s="5"/>
    </row>
    <row r="217" spans="28:29" x14ac:dyDescent="0.4">
      <c r="AB217" s="4"/>
      <c r="AC217" s="5"/>
    </row>
    <row r="218" spans="28:29" x14ac:dyDescent="0.4">
      <c r="AB218" s="4"/>
      <c r="AC218" s="5"/>
    </row>
    <row r="219" spans="28:29" x14ac:dyDescent="0.4">
      <c r="AB219" s="4"/>
      <c r="AC219" s="5"/>
    </row>
    <row r="220" spans="28:29" x14ac:dyDescent="0.4">
      <c r="AB220" s="4"/>
      <c r="AC220" s="5"/>
    </row>
    <row r="221" spans="28:29" x14ac:dyDescent="0.4">
      <c r="AB221" s="4"/>
      <c r="AC221" s="5"/>
    </row>
    <row r="222" spans="28:29" x14ac:dyDescent="0.4">
      <c r="AB222" s="4"/>
      <c r="AC222" s="5"/>
    </row>
    <row r="223" spans="28:29" x14ac:dyDescent="0.4">
      <c r="AB223" s="4"/>
      <c r="AC223" s="5"/>
    </row>
    <row r="224" spans="28:29" x14ac:dyDescent="0.4">
      <c r="AB224" s="4"/>
      <c r="AC224" s="5"/>
    </row>
    <row r="225" spans="28:29" x14ac:dyDescent="0.4">
      <c r="AB225" s="4"/>
      <c r="AC225" s="5"/>
    </row>
    <row r="226" spans="28:29" x14ac:dyDescent="0.4">
      <c r="AB226" s="4"/>
      <c r="AC226" s="5"/>
    </row>
    <row r="227" spans="28:29" x14ac:dyDescent="0.4">
      <c r="AB227" s="4"/>
      <c r="AC227" s="5"/>
    </row>
    <row r="228" spans="28:29" x14ac:dyDescent="0.4">
      <c r="AB228" s="4"/>
      <c r="AC228" s="5"/>
    </row>
    <row r="229" spans="28:29" x14ac:dyDescent="0.4">
      <c r="AB229" s="4"/>
      <c r="AC229" s="5"/>
    </row>
    <row r="230" spans="28:29" x14ac:dyDescent="0.4">
      <c r="AB230" s="4"/>
      <c r="AC230" s="5"/>
    </row>
    <row r="231" spans="28:29" x14ac:dyDescent="0.4">
      <c r="AB231" s="4"/>
      <c r="AC231" s="5"/>
    </row>
    <row r="232" spans="28:29" x14ac:dyDescent="0.4">
      <c r="AB232" s="4"/>
      <c r="AC232" s="5"/>
    </row>
    <row r="233" spans="28:29" x14ac:dyDescent="0.4">
      <c r="AB233" s="4"/>
      <c r="AC233" s="5"/>
    </row>
    <row r="234" spans="28:29" x14ac:dyDescent="0.4">
      <c r="AB234" s="4"/>
      <c r="AC234" s="5"/>
    </row>
    <row r="235" spans="28:29" x14ac:dyDescent="0.4">
      <c r="AB235" s="4"/>
      <c r="AC235" s="5"/>
    </row>
    <row r="236" spans="28:29" x14ac:dyDescent="0.4">
      <c r="AB236" s="4"/>
      <c r="AC236" s="5"/>
    </row>
    <row r="237" spans="28:29" x14ac:dyDescent="0.4">
      <c r="AB237" s="4"/>
      <c r="AC237" s="5"/>
    </row>
    <row r="238" spans="28:29" x14ac:dyDescent="0.4">
      <c r="AB238" s="4"/>
      <c r="AC238" s="5"/>
    </row>
    <row r="239" spans="28:29" x14ac:dyDescent="0.4">
      <c r="AB239" s="4"/>
      <c r="AC239" s="5"/>
    </row>
    <row r="240" spans="28:29" x14ac:dyDescent="0.4">
      <c r="AB240" s="4"/>
      <c r="AC240" s="5"/>
    </row>
    <row r="241" spans="28:29" x14ac:dyDescent="0.4">
      <c r="AB241" s="4"/>
      <c r="AC241" s="5"/>
    </row>
    <row r="242" spans="28:29" x14ac:dyDescent="0.4">
      <c r="AB242" s="4"/>
      <c r="AC242" s="5"/>
    </row>
    <row r="243" spans="28:29" x14ac:dyDescent="0.4">
      <c r="AB243" s="4"/>
      <c r="AC243" s="5"/>
    </row>
    <row r="244" spans="28:29" x14ac:dyDescent="0.4">
      <c r="AB244" s="4"/>
      <c r="AC244" s="5"/>
    </row>
    <row r="245" spans="28:29" x14ac:dyDescent="0.4">
      <c r="AB245" s="4"/>
      <c r="AC245" s="5"/>
    </row>
    <row r="246" spans="28:29" x14ac:dyDescent="0.4">
      <c r="AB246" s="4"/>
      <c r="AC246" s="5"/>
    </row>
    <row r="247" spans="28:29" x14ac:dyDescent="0.4">
      <c r="AB247" s="4"/>
      <c r="AC247" s="5"/>
    </row>
    <row r="248" spans="28:29" x14ac:dyDescent="0.4">
      <c r="AB248" s="4"/>
      <c r="AC248" s="5"/>
    </row>
    <row r="249" spans="28:29" x14ac:dyDescent="0.4">
      <c r="AB249" s="4"/>
      <c r="AC249" s="5"/>
    </row>
    <row r="250" spans="28:29" x14ac:dyDescent="0.4">
      <c r="AB250" s="4"/>
      <c r="AC250" s="5"/>
    </row>
    <row r="251" spans="28:29" x14ac:dyDescent="0.4">
      <c r="AB251" s="4"/>
      <c r="AC251" s="5"/>
    </row>
    <row r="252" spans="28:29" x14ac:dyDescent="0.4">
      <c r="AB252" s="4"/>
      <c r="AC252" s="5"/>
    </row>
    <row r="253" spans="28:29" x14ac:dyDescent="0.4">
      <c r="AB253" s="4"/>
      <c r="AC253" s="5"/>
    </row>
    <row r="254" spans="28:29" x14ac:dyDescent="0.4">
      <c r="AB254" s="4"/>
      <c r="AC254" s="5"/>
    </row>
    <row r="255" spans="28:29" x14ac:dyDescent="0.4">
      <c r="AB255" s="4"/>
      <c r="AC255" s="5"/>
    </row>
    <row r="256" spans="28:29" x14ac:dyDescent="0.4">
      <c r="AB256" s="4"/>
      <c r="AC256" s="5"/>
    </row>
    <row r="257" spans="28:29" x14ac:dyDescent="0.4">
      <c r="AB257" s="4"/>
      <c r="AC257" s="5"/>
    </row>
    <row r="258" spans="28:29" x14ac:dyDescent="0.4">
      <c r="AB258" s="4"/>
      <c r="AC258" s="5"/>
    </row>
    <row r="259" spans="28:29" x14ac:dyDescent="0.4">
      <c r="AB259" s="4"/>
      <c r="AC259" s="5"/>
    </row>
    <row r="260" spans="28:29" x14ac:dyDescent="0.4">
      <c r="AB260" s="4"/>
      <c r="AC260" s="5"/>
    </row>
    <row r="261" spans="28:29" x14ac:dyDescent="0.4">
      <c r="AB261" s="4"/>
      <c r="AC261" s="5"/>
    </row>
    <row r="262" spans="28:29" x14ac:dyDescent="0.4">
      <c r="AB262" s="4"/>
      <c r="AC262" s="5"/>
    </row>
    <row r="263" spans="28:29" x14ac:dyDescent="0.4">
      <c r="AB263" s="4"/>
      <c r="AC263" s="5"/>
    </row>
    <row r="264" spans="28:29" x14ac:dyDescent="0.4">
      <c r="AB264" s="4"/>
      <c r="AC264" s="5"/>
    </row>
    <row r="265" spans="28:29" x14ac:dyDescent="0.4">
      <c r="AB265" s="4"/>
      <c r="AC265" s="5"/>
    </row>
    <row r="266" spans="28:29" x14ac:dyDescent="0.4">
      <c r="AB266" s="4"/>
      <c r="AC266" s="5"/>
    </row>
    <row r="267" spans="28:29" x14ac:dyDescent="0.4">
      <c r="AB267" s="4"/>
      <c r="AC267" s="5"/>
    </row>
    <row r="268" spans="28:29" x14ac:dyDescent="0.4">
      <c r="AB268" s="4"/>
      <c r="AC268" s="5"/>
    </row>
    <row r="269" spans="28:29" x14ac:dyDescent="0.4">
      <c r="AB269" s="4"/>
      <c r="AC269" s="5"/>
    </row>
    <row r="270" spans="28:29" x14ac:dyDescent="0.4">
      <c r="AB270" s="4"/>
      <c r="AC270" s="5"/>
    </row>
    <row r="271" spans="28:29" x14ac:dyDescent="0.4">
      <c r="AB271" s="4"/>
      <c r="AC271" s="5"/>
    </row>
    <row r="272" spans="28:29" x14ac:dyDescent="0.4">
      <c r="AB272" s="4"/>
      <c r="AC272" s="5"/>
    </row>
    <row r="273" spans="28:29" x14ac:dyDescent="0.4">
      <c r="AB273" s="4"/>
      <c r="AC273" s="5"/>
    </row>
    <row r="274" spans="28:29" x14ac:dyDescent="0.4">
      <c r="AB274" s="4"/>
      <c r="AC274" s="5"/>
    </row>
    <row r="275" spans="28:29" x14ac:dyDescent="0.4">
      <c r="AB275" s="4"/>
      <c r="AC275" s="39"/>
    </row>
    <row r="276" spans="28:29" x14ac:dyDescent="0.4">
      <c r="AB276" s="4"/>
      <c r="AC276" s="39"/>
    </row>
    <row r="277" spans="28:29" x14ac:dyDescent="0.4">
      <c r="AB277" s="4"/>
      <c r="AC277" s="39"/>
    </row>
    <row r="278" spans="28:29" x14ac:dyDescent="0.4">
      <c r="AB278" s="39"/>
      <c r="AC278" s="39"/>
    </row>
    <row r="279" spans="28:29" x14ac:dyDescent="0.4">
      <c r="AB279" s="39"/>
      <c r="AC279" s="39"/>
    </row>
    <row r="280" spans="28:29" x14ac:dyDescent="0.4">
      <c r="AB280" s="39"/>
      <c r="AC280" s="39"/>
    </row>
  </sheetData>
  <mergeCells count="3">
    <mergeCell ref="A1:AC1"/>
    <mergeCell ref="A2:AC2"/>
    <mergeCell ref="A3:AC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9A49B-51B2-4F04-B95C-8B8004411362}">
  <dimension ref="A1:E16"/>
  <sheetViews>
    <sheetView tabSelected="1"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L5" sqref="L5"/>
    </sheetView>
  </sheetViews>
  <sheetFormatPr defaultRowHeight="14.6" x14ac:dyDescent="0.4"/>
  <cols>
    <col min="2" max="3" width="11.765625" style="273" bestFit="1" customWidth="1"/>
    <col min="4" max="4" width="10.69140625" style="273" customWidth="1"/>
  </cols>
  <sheetData>
    <row r="1" spans="1:5" ht="29.6" thickBot="1" x14ac:dyDescent="0.45">
      <c r="A1" s="298" t="s">
        <v>254</v>
      </c>
      <c r="B1" s="276" t="str">
        <f>KPFA!B18</f>
        <v>Total Revenue</v>
      </c>
      <c r="C1" s="277" t="str">
        <f>KPFA!B21</f>
        <v>Personnel Costs</v>
      </c>
      <c r="D1" s="277" t="s">
        <v>252</v>
      </c>
      <c r="E1" s="297" t="s">
        <v>251</v>
      </c>
    </row>
    <row r="2" spans="1:5" x14ac:dyDescent="0.4">
      <c r="A2" s="272" t="s">
        <v>231</v>
      </c>
      <c r="B2" s="278">
        <f>KPFT!R$15</f>
        <v>708532.08</v>
      </c>
      <c r="C2" s="279">
        <f>KPFT!R$18</f>
        <v>248447.42</v>
      </c>
      <c r="D2" s="280">
        <f>B2/C2</f>
        <v>2.851839153733212</v>
      </c>
      <c r="E2" s="299">
        <f>D2</f>
        <v>2.851839153733212</v>
      </c>
    </row>
    <row r="3" spans="1:5" x14ac:dyDescent="0.4">
      <c r="A3" s="272" t="s">
        <v>232</v>
      </c>
      <c r="B3" s="278">
        <f>WBAI!R$13</f>
        <v>1343286.15</v>
      </c>
      <c r="C3" s="279">
        <f>WBAI!R$16</f>
        <v>616118.87</v>
      </c>
      <c r="D3" s="280">
        <f>B3/C3</f>
        <v>2.1802386120717254</v>
      </c>
      <c r="E3" s="299">
        <f>D3</f>
        <v>2.1802386120717254</v>
      </c>
    </row>
    <row r="4" spans="1:5" x14ac:dyDescent="0.4">
      <c r="A4" s="272" t="s">
        <v>233</v>
      </c>
      <c r="B4" s="278">
        <f>WPFW!R$14</f>
        <v>1390989.51</v>
      </c>
      <c r="C4" s="279">
        <f>WPFW!R$17</f>
        <v>687394.47</v>
      </c>
      <c r="D4" s="280">
        <f>B4/C4</f>
        <v>2.0235680831124521</v>
      </c>
      <c r="E4" s="299">
        <f>D4</f>
        <v>2.0235680831124521</v>
      </c>
    </row>
    <row r="5" spans="1:5" x14ac:dyDescent="0.4">
      <c r="A5" s="272" t="s">
        <v>229</v>
      </c>
      <c r="B5" s="278">
        <f>KPFA!R$18</f>
        <v>3539664.65</v>
      </c>
      <c r="C5" s="279">
        <f>KPFA!R$21</f>
        <v>2294297.17</v>
      </c>
      <c r="D5" s="280">
        <f>B5/C5</f>
        <v>1.5428100144498718</v>
      </c>
      <c r="E5" s="299">
        <f>D5</f>
        <v>1.5428100144498718</v>
      </c>
    </row>
    <row r="6" spans="1:5" ht="15" thickBot="1" x14ac:dyDescent="0.45">
      <c r="A6" s="272" t="s">
        <v>230</v>
      </c>
      <c r="B6" s="282">
        <f>KPFK!R$17</f>
        <v>2790821.6</v>
      </c>
      <c r="C6" s="283">
        <f>KPFK!R$20</f>
        <v>2093024.98</v>
      </c>
      <c r="D6" s="284">
        <f>B6/C6</f>
        <v>1.3333914438039818</v>
      </c>
      <c r="E6" s="300">
        <f>D6</f>
        <v>1.3333914438039818</v>
      </c>
    </row>
    <row r="8" spans="1:5" ht="15" thickBot="1" x14ac:dyDescent="0.45"/>
    <row r="9" spans="1:5" ht="29.6" thickBot="1" x14ac:dyDescent="0.45">
      <c r="A9" s="274" t="s">
        <v>253</v>
      </c>
      <c r="B9" s="276" t="s">
        <v>54</v>
      </c>
      <c r="C9" s="277" t="s">
        <v>56</v>
      </c>
      <c r="D9" s="277" t="s">
        <v>252</v>
      </c>
      <c r="E9" s="277" t="s">
        <v>251</v>
      </c>
    </row>
    <row r="10" spans="1:5" x14ac:dyDescent="0.4">
      <c r="A10" t="s">
        <v>231</v>
      </c>
      <c r="B10" s="278">
        <f>KPFT!Z$15</f>
        <v>345469.43</v>
      </c>
      <c r="C10" s="279">
        <f>KPFT!Z$18</f>
        <v>110240.42</v>
      </c>
      <c r="D10" s="280">
        <f>B10/C10</f>
        <v>3.1337818741982297</v>
      </c>
      <c r="E10" s="281">
        <f>D10</f>
        <v>3.1337818741982297</v>
      </c>
    </row>
    <row r="11" spans="1:5" x14ac:dyDescent="0.4">
      <c r="A11" t="s">
        <v>233</v>
      </c>
      <c r="B11" s="278">
        <f>WPFW!Z$14</f>
        <v>1033679.69</v>
      </c>
      <c r="C11" s="279">
        <f>WPFW!Z$17</f>
        <v>322863.18</v>
      </c>
      <c r="D11" s="280">
        <f>B11/C11</f>
        <v>3.2016028894964115</v>
      </c>
      <c r="E11" s="281">
        <f>D11</f>
        <v>3.2016028894964115</v>
      </c>
    </row>
    <row r="12" spans="1:5" x14ac:dyDescent="0.4">
      <c r="A12" t="s">
        <v>232</v>
      </c>
      <c r="B12" s="278">
        <f>WBAI!Z$13</f>
        <v>680548.76</v>
      </c>
      <c r="C12" s="279">
        <f>WBAI!Z$16</f>
        <v>302187.34999999998</v>
      </c>
      <c r="D12" s="280">
        <f>B12/C12</f>
        <v>2.2520756080623494</v>
      </c>
      <c r="E12" s="281">
        <f>D12</f>
        <v>2.2520756080623494</v>
      </c>
    </row>
    <row r="13" spans="1:5" x14ac:dyDescent="0.4">
      <c r="A13" t="s">
        <v>229</v>
      </c>
      <c r="B13" s="278">
        <f>KPFA!Z$18</f>
        <v>2418528.04</v>
      </c>
      <c r="C13" s="279">
        <f>KPFA!Z$21</f>
        <v>1217030.58</v>
      </c>
      <c r="D13" s="280">
        <f>B13/C13</f>
        <v>1.9872368695945175</v>
      </c>
      <c r="E13" s="281">
        <f>D13</f>
        <v>1.9872368695945175</v>
      </c>
    </row>
    <row r="14" spans="1:5" ht="15" thickBot="1" x14ac:dyDescent="0.45">
      <c r="A14" t="s">
        <v>230</v>
      </c>
      <c r="B14" s="282">
        <f>KPFK!Z$17</f>
        <v>1815484.3</v>
      </c>
      <c r="C14" s="283">
        <f>KPFK!Z$20</f>
        <v>1016202.78</v>
      </c>
      <c r="D14" s="284">
        <f>B14/C14</f>
        <v>1.7865374271068222</v>
      </c>
      <c r="E14" s="285">
        <f>D14</f>
        <v>1.7865374271068222</v>
      </c>
    </row>
    <row r="15" spans="1:5" x14ac:dyDescent="0.4">
      <c r="D15" s="286"/>
      <c r="E15" s="275"/>
    </row>
    <row r="16" spans="1:5" x14ac:dyDescent="0.4">
      <c r="B16" s="273" t="s">
        <v>255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290"/>
  <sheetViews>
    <sheetView topLeftCell="B1" zoomScale="95" zoomScaleNormal="95" workbookViewId="0">
      <pane xSplit="1" ySplit="6" topLeftCell="V20" activePane="bottomRight" state="frozen"/>
      <selection activeCell="B1" sqref="B1"/>
      <selection pane="topRight" activeCell="C1" sqref="C1"/>
      <selection pane="bottomLeft" activeCell="B7" sqref="B7"/>
      <selection pane="bottomRight" activeCell="B18" sqref="B18"/>
    </sheetView>
  </sheetViews>
  <sheetFormatPr defaultColWidth="9.15234375" defaultRowHeight="14.6" x14ac:dyDescent="0.4"/>
  <cols>
    <col min="1" max="1" width="0" style="2" hidden="1" customWidth="1"/>
    <col min="2" max="2" width="25.84375" style="2" bestFit="1" customWidth="1"/>
    <col min="3" max="3" width="12.69140625" style="241" bestFit="1" customWidth="1"/>
    <col min="4" max="4" width="9.15234375" style="2"/>
    <col min="5" max="5" width="4.3828125" style="2" customWidth="1"/>
    <col min="6" max="17" width="9.15234375" style="2" customWidth="1"/>
    <col min="18" max="18" width="12.69140625" style="241" bestFit="1" customWidth="1"/>
    <col min="19" max="19" width="3.84375" style="37" customWidth="1"/>
    <col min="20" max="21" width="8.3828125" style="37" bestFit="1" customWidth="1"/>
    <col min="22" max="25" width="8.3828125" style="37" customWidth="1"/>
    <col min="26" max="26" width="12.69140625" style="250" bestFit="1" customWidth="1"/>
    <col min="27" max="27" width="3.84375" style="2" customWidth="1"/>
    <col min="28" max="28" width="12.69140625" style="241" bestFit="1" customWidth="1"/>
    <col min="29" max="29" width="9.53515625" style="2" bestFit="1" customWidth="1"/>
    <col min="30" max="30" width="9.3828125" style="2" bestFit="1" customWidth="1"/>
    <col min="31" max="16384" width="9.15234375" style="2"/>
  </cols>
  <sheetData>
    <row r="1" spans="1:30" x14ac:dyDescent="0.4">
      <c r="A1" s="288" t="s">
        <v>229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88"/>
      <c r="W1" s="288"/>
      <c r="X1" s="288"/>
      <c r="Y1" s="288"/>
      <c r="Z1" s="288"/>
      <c r="AA1" s="288"/>
      <c r="AB1" s="288"/>
      <c r="AC1" s="288"/>
      <c r="AD1" s="288"/>
    </row>
    <row r="2" spans="1:30" ht="15" customHeight="1" x14ac:dyDescent="0.4">
      <c r="A2" s="289" t="s">
        <v>0</v>
      </c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89"/>
      <c r="O2" s="289"/>
      <c r="P2" s="289"/>
      <c r="Q2" s="289"/>
      <c r="R2" s="289"/>
      <c r="S2" s="289"/>
      <c r="T2" s="289"/>
      <c r="U2" s="289"/>
      <c r="V2" s="289"/>
      <c r="W2" s="289"/>
      <c r="X2" s="289"/>
      <c r="Y2" s="289"/>
      <c r="Z2" s="289"/>
      <c r="AA2" s="289"/>
      <c r="AB2" s="289"/>
      <c r="AC2" s="289"/>
      <c r="AD2" s="289"/>
    </row>
    <row r="3" spans="1:30" ht="15" customHeight="1" x14ac:dyDescent="0.4">
      <c r="A3" s="288" t="s">
        <v>248</v>
      </c>
      <c r="B3" s="288"/>
      <c r="C3" s="288"/>
      <c r="D3" s="288"/>
      <c r="E3" s="288"/>
      <c r="F3" s="288"/>
      <c r="G3" s="288"/>
      <c r="H3" s="288"/>
      <c r="I3" s="288"/>
      <c r="J3" s="288"/>
      <c r="K3" s="288"/>
      <c r="L3" s="288"/>
      <c r="M3" s="288"/>
      <c r="N3" s="288"/>
      <c r="O3" s="288"/>
      <c r="P3" s="288"/>
      <c r="Q3" s="288"/>
      <c r="R3" s="288"/>
      <c r="S3" s="288"/>
      <c r="T3" s="288"/>
      <c r="U3" s="288"/>
      <c r="V3" s="288"/>
      <c r="W3" s="288"/>
      <c r="X3" s="288"/>
      <c r="Y3" s="288"/>
      <c r="Z3" s="288"/>
      <c r="AA3" s="288"/>
      <c r="AB3" s="288"/>
      <c r="AC3" s="288"/>
      <c r="AD3" s="288"/>
    </row>
    <row r="4" spans="1:30" ht="15" customHeight="1" x14ac:dyDescent="0.4">
      <c r="A4" s="118"/>
      <c r="B4" s="118"/>
      <c r="C4" s="242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242"/>
      <c r="S4" s="119"/>
      <c r="T4" s="119"/>
      <c r="U4" s="119"/>
      <c r="V4" s="119"/>
      <c r="W4" s="119"/>
      <c r="X4" s="119"/>
      <c r="Y4" s="119"/>
      <c r="Z4" s="268" t="s">
        <v>250</v>
      </c>
      <c r="AB4" s="271" t="s">
        <v>242</v>
      </c>
    </row>
    <row r="5" spans="1:30" x14ac:dyDescent="0.4">
      <c r="A5" s="120" t="s">
        <v>1</v>
      </c>
      <c r="B5" s="121" t="s">
        <v>2</v>
      </c>
      <c r="C5" s="270" t="s">
        <v>235</v>
      </c>
      <c r="D5" s="121" t="s">
        <v>3</v>
      </c>
      <c r="E5" s="122"/>
      <c r="F5" s="121" t="s">
        <v>4</v>
      </c>
      <c r="G5" s="121" t="s">
        <v>5</v>
      </c>
      <c r="H5" s="121" t="s">
        <v>6</v>
      </c>
      <c r="I5" s="121" t="s">
        <v>7</v>
      </c>
      <c r="J5" s="121" t="s">
        <v>8</v>
      </c>
      <c r="K5" s="121" t="s">
        <v>9</v>
      </c>
      <c r="L5" s="121" t="s">
        <v>10</v>
      </c>
      <c r="M5" s="121" t="s">
        <v>11</v>
      </c>
      <c r="N5" s="121" t="s">
        <v>12</v>
      </c>
      <c r="O5" s="121" t="s">
        <v>13</v>
      </c>
      <c r="P5" s="121" t="s">
        <v>14</v>
      </c>
      <c r="Q5" s="121" t="s">
        <v>15</v>
      </c>
      <c r="R5" s="270" t="s">
        <v>242</v>
      </c>
      <c r="S5" s="123"/>
      <c r="T5" s="136" t="s">
        <v>16</v>
      </c>
      <c r="U5" s="136" t="s">
        <v>244</v>
      </c>
      <c r="V5" s="136" t="s">
        <v>245</v>
      </c>
      <c r="W5" s="136" t="s">
        <v>246</v>
      </c>
      <c r="X5" s="136" t="s">
        <v>247</v>
      </c>
      <c r="Y5" s="136" t="s">
        <v>249</v>
      </c>
      <c r="Z5" s="269" t="s">
        <v>17</v>
      </c>
      <c r="AA5" s="123"/>
      <c r="AB5" s="270" t="s">
        <v>238</v>
      </c>
      <c r="AC5" s="29" t="s">
        <v>240</v>
      </c>
      <c r="AD5" s="29" t="s">
        <v>239</v>
      </c>
    </row>
    <row r="6" spans="1:30" x14ac:dyDescent="0.4">
      <c r="A6" s="124"/>
      <c r="B6" s="125" t="s">
        <v>18</v>
      </c>
      <c r="C6" s="237"/>
      <c r="D6" s="126"/>
      <c r="E6" s="127" t="s">
        <v>19</v>
      </c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237"/>
      <c r="S6" s="128"/>
      <c r="T6" s="137"/>
      <c r="U6" s="137"/>
      <c r="V6" s="137"/>
      <c r="W6" s="137"/>
      <c r="X6" s="137"/>
      <c r="Y6" s="137"/>
      <c r="Z6" s="245"/>
      <c r="AA6" s="126"/>
    </row>
    <row r="7" spans="1:30" x14ac:dyDescent="0.4">
      <c r="A7" s="124"/>
      <c r="B7" s="125" t="s">
        <v>20</v>
      </c>
      <c r="C7" s="237"/>
      <c r="D7" s="126"/>
      <c r="E7" s="127" t="s">
        <v>19</v>
      </c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237"/>
      <c r="S7" s="128"/>
      <c r="T7" s="137"/>
      <c r="U7" s="137"/>
      <c r="V7" s="137"/>
      <c r="W7" s="137"/>
      <c r="X7" s="137"/>
      <c r="Y7" s="137"/>
      <c r="Z7" s="245"/>
      <c r="AA7" s="126"/>
    </row>
    <row r="8" spans="1:30" x14ac:dyDescent="0.4">
      <c r="A8" s="124" t="s">
        <v>21</v>
      </c>
      <c r="B8" s="178" t="s">
        <v>22</v>
      </c>
      <c r="C8" s="237">
        <v>2082184.84</v>
      </c>
      <c r="D8" s="138">
        <v>173515.40333333332</v>
      </c>
      <c r="E8" s="194" t="s">
        <v>19</v>
      </c>
      <c r="F8" s="138">
        <v>198465.76</v>
      </c>
      <c r="G8" s="138">
        <v>31871.5</v>
      </c>
      <c r="H8" s="138">
        <v>281880.28999999998</v>
      </c>
      <c r="I8" s="138">
        <v>88585.64</v>
      </c>
      <c r="J8" s="138">
        <v>335390.55</v>
      </c>
      <c r="K8" s="138">
        <v>143510.20000000001</v>
      </c>
      <c r="L8" s="138">
        <v>184125.29</v>
      </c>
      <c r="M8" s="138">
        <v>437689.46</v>
      </c>
      <c r="N8" s="138">
        <v>193555.89</v>
      </c>
      <c r="O8" s="138">
        <v>116880.03</v>
      </c>
      <c r="P8" s="138">
        <v>334505</v>
      </c>
      <c r="Q8" s="138">
        <v>228706.26</v>
      </c>
      <c r="R8" s="237">
        <v>2575165.87</v>
      </c>
      <c r="S8" s="23"/>
      <c r="T8" s="138">
        <v>286118.03999999998</v>
      </c>
      <c r="U8" s="138">
        <v>161446.84</v>
      </c>
      <c r="V8" s="138">
        <v>555990.55000000005</v>
      </c>
      <c r="W8" s="138">
        <v>162119.88</v>
      </c>
      <c r="X8" s="138">
        <v>377271.75</v>
      </c>
      <c r="Y8" s="138">
        <v>457666.49</v>
      </c>
      <c r="Z8" s="245">
        <v>2000613.55</v>
      </c>
      <c r="AA8" s="22"/>
      <c r="AB8" s="252">
        <f t="shared" ref="AB8:AB17" si="0">SUM(F8:K8)</f>
        <v>1079703.94</v>
      </c>
      <c r="AC8" s="224">
        <f>+Z8-AB8</f>
        <v>920909.6100000001</v>
      </c>
      <c r="AD8" s="8">
        <f>+AC8/AB8</f>
        <v>0.85292789614160358</v>
      </c>
    </row>
    <row r="9" spans="1:30" x14ac:dyDescent="0.4">
      <c r="A9" s="124" t="s">
        <v>23</v>
      </c>
      <c r="B9" s="178" t="s">
        <v>24</v>
      </c>
      <c r="C9" s="237">
        <v>104307</v>
      </c>
      <c r="D9" s="138">
        <v>8692.25</v>
      </c>
      <c r="E9" s="194" t="s">
        <v>19</v>
      </c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237"/>
      <c r="S9" s="23"/>
      <c r="T9" s="137"/>
      <c r="U9" s="137"/>
      <c r="V9" s="137"/>
      <c r="W9" s="137"/>
      <c r="X9" s="137"/>
      <c r="Y9" s="137"/>
      <c r="Z9" s="245"/>
      <c r="AA9" s="22"/>
      <c r="AB9" s="252">
        <f t="shared" si="0"/>
        <v>0</v>
      </c>
      <c r="AC9" s="224">
        <f t="shared" ref="AC9:AC17" si="1">+Z9-AB9</f>
        <v>0</v>
      </c>
      <c r="AD9" s="8" t="e">
        <f t="shared" ref="AD9:AD17" si="2">+AC9/AB9</f>
        <v>#DIV/0!</v>
      </c>
    </row>
    <row r="10" spans="1:30" x14ac:dyDescent="0.4">
      <c r="A10" s="124" t="s">
        <v>25</v>
      </c>
      <c r="B10" s="178" t="s">
        <v>26</v>
      </c>
      <c r="C10" s="237">
        <v>20.92</v>
      </c>
      <c r="D10" s="138">
        <v>1.7433333333333001</v>
      </c>
      <c r="E10" s="194" t="s">
        <v>19</v>
      </c>
      <c r="F10" s="137"/>
      <c r="G10" s="138">
        <v>50</v>
      </c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237">
        <v>50</v>
      </c>
      <c r="S10" s="23"/>
      <c r="T10" s="137"/>
      <c r="U10" s="137"/>
      <c r="V10" s="137"/>
      <c r="W10" s="137"/>
      <c r="X10" s="137"/>
      <c r="Y10" s="137"/>
      <c r="Z10" s="245"/>
      <c r="AA10" s="22"/>
      <c r="AB10" s="252">
        <f t="shared" si="0"/>
        <v>50</v>
      </c>
      <c r="AC10" s="224">
        <f t="shared" si="1"/>
        <v>-50</v>
      </c>
      <c r="AD10" s="8">
        <f t="shared" si="2"/>
        <v>-1</v>
      </c>
    </row>
    <row r="11" spans="1:30" x14ac:dyDescent="0.4">
      <c r="A11" s="124" t="s">
        <v>27</v>
      </c>
      <c r="B11" s="178" t="s">
        <v>28</v>
      </c>
      <c r="C11" s="237">
        <v>987415.53</v>
      </c>
      <c r="D11" s="138">
        <v>82284.627500000002</v>
      </c>
      <c r="E11" s="194" t="s">
        <v>19</v>
      </c>
      <c r="F11" s="138">
        <v>1000</v>
      </c>
      <c r="G11" s="138">
        <v>26500</v>
      </c>
      <c r="H11" s="138">
        <v>42600</v>
      </c>
      <c r="I11" s="137"/>
      <c r="J11" s="137"/>
      <c r="K11" s="138">
        <v>151158.54</v>
      </c>
      <c r="L11" s="137"/>
      <c r="M11" s="137"/>
      <c r="N11" s="137"/>
      <c r="O11" s="137"/>
      <c r="P11" s="137"/>
      <c r="Q11" s="137"/>
      <c r="R11" s="237">
        <v>221258.54</v>
      </c>
      <c r="S11" s="23"/>
      <c r="T11" s="137"/>
      <c r="U11" s="137"/>
      <c r="V11" s="137"/>
      <c r="W11" s="138">
        <v>1000</v>
      </c>
      <c r="X11" s="137"/>
      <c r="Y11" s="137"/>
      <c r="Z11" s="245">
        <v>1000</v>
      </c>
      <c r="AA11" s="22"/>
      <c r="AB11" s="252">
        <f t="shared" si="0"/>
        <v>221258.54</v>
      </c>
      <c r="AC11" s="224">
        <f t="shared" si="1"/>
        <v>-220258.54</v>
      </c>
      <c r="AD11" s="8">
        <f t="shared" si="2"/>
        <v>-0.99548040044013664</v>
      </c>
    </row>
    <row r="12" spans="1:30" x14ac:dyDescent="0.4">
      <c r="A12" s="124" t="s">
        <v>29</v>
      </c>
      <c r="B12" s="178" t="s">
        <v>30</v>
      </c>
      <c r="C12" s="237">
        <v>387691.35</v>
      </c>
      <c r="D12" s="138">
        <v>32307.612499999999</v>
      </c>
      <c r="E12" s="194" t="s">
        <v>19</v>
      </c>
      <c r="F12" s="138">
        <v>182635.84</v>
      </c>
      <c r="G12" s="138">
        <v>119979.93</v>
      </c>
      <c r="H12" s="138">
        <v>97637.83</v>
      </c>
      <c r="I12" s="138">
        <v>129787.65</v>
      </c>
      <c r="J12" s="138">
        <v>27806.720000000001</v>
      </c>
      <c r="K12" s="138">
        <v>72798.539999999994</v>
      </c>
      <c r="L12" s="137"/>
      <c r="M12" s="137"/>
      <c r="N12" s="137"/>
      <c r="O12" s="137"/>
      <c r="P12" s="137"/>
      <c r="Q12" s="137"/>
      <c r="R12" s="237">
        <v>630646.51</v>
      </c>
      <c r="S12" s="23"/>
      <c r="T12" s="138">
        <v>16352</v>
      </c>
      <c r="U12" s="138">
        <v>4793</v>
      </c>
      <c r="V12" s="138">
        <v>533</v>
      </c>
      <c r="W12" s="138">
        <v>141</v>
      </c>
      <c r="X12" s="138">
        <v>460</v>
      </c>
      <c r="Y12" s="137"/>
      <c r="Z12" s="245">
        <v>22279</v>
      </c>
      <c r="AA12" s="126"/>
      <c r="AB12" s="252">
        <f t="shared" si="0"/>
        <v>630646.51</v>
      </c>
      <c r="AC12" s="224">
        <f t="shared" si="1"/>
        <v>-608367.51</v>
      </c>
      <c r="AD12" s="8">
        <f t="shared" si="2"/>
        <v>-0.96467276097349686</v>
      </c>
    </row>
    <row r="13" spans="1:30" x14ac:dyDescent="0.4">
      <c r="A13" s="124" t="s">
        <v>31</v>
      </c>
      <c r="B13" s="178" t="s">
        <v>33</v>
      </c>
      <c r="C13" s="237">
        <v>44455.65</v>
      </c>
      <c r="D13" s="138">
        <v>3704.6374999999998</v>
      </c>
      <c r="E13" s="194" t="s">
        <v>19</v>
      </c>
      <c r="F13" s="138">
        <v>2186.2399999999998</v>
      </c>
      <c r="G13" s="138">
        <v>4159.45</v>
      </c>
      <c r="H13" s="138">
        <v>3051.12</v>
      </c>
      <c r="I13" s="137"/>
      <c r="J13" s="137"/>
      <c r="K13" s="137"/>
      <c r="L13" s="137"/>
      <c r="M13" s="137"/>
      <c r="N13" s="137"/>
      <c r="O13" s="137"/>
      <c r="P13" s="137"/>
      <c r="Q13" s="137"/>
      <c r="R13" s="237">
        <v>9396.81</v>
      </c>
      <c r="S13" s="128"/>
      <c r="T13" s="137"/>
      <c r="U13" s="137"/>
      <c r="V13" s="137"/>
      <c r="W13" s="137"/>
      <c r="X13" s="137"/>
      <c r="Y13" s="137"/>
      <c r="Z13" s="245"/>
      <c r="AA13" s="22"/>
      <c r="AB13" s="252">
        <f t="shared" si="0"/>
        <v>9396.81</v>
      </c>
      <c r="AC13" s="224">
        <f t="shared" si="1"/>
        <v>-9396.81</v>
      </c>
      <c r="AD13" s="8">
        <f t="shared" si="2"/>
        <v>-1</v>
      </c>
    </row>
    <row r="14" spans="1:30" x14ac:dyDescent="0.4">
      <c r="A14" s="124" t="s">
        <v>32</v>
      </c>
      <c r="B14" s="178" t="s">
        <v>37</v>
      </c>
      <c r="C14" s="237">
        <v>36815.89</v>
      </c>
      <c r="D14" s="138">
        <v>3067.9908333333333</v>
      </c>
      <c r="E14" s="194" t="s">
        <v>19</v>
      </c>
      <c r="F14" s="138">
        <v>14278</v>
      </c>
      <c r="G14" s="137"/>
      <c r="H14" s="137"/>
      <c r="I14" s="138">
        <v>8898</v>
      </c>
      <c r="J14" s="137"/>
      <c r="K14" s="137"/>
      <c r="L14" s="137"/>
      <c r="M14" s="137"/>
      <c r="N14" s="137"/>
      <c r="O14" s="137"/>
      <c r="P14" s="137"/>
      <c r="Q14" s="138">
        <v>835</v>
      </c>
      <c r="R14" s="237">
        <v>24011</v>
      </c>
      <c r="S14" s="23"/>
      <c r="T14" s="138">
        <v>1862</v>
      </c>
      <c r="U14" s="138">
        <v>120</v>
      </c>
      <c r="V14" s="138">
        <v>3179</v>
      </c>
      <c r="W14" s="137"/>
      <c r="X14" s="138">
        <v>2820</v>
      </c>
      <c r="Y14" s="138">
        <v>1691</v>
      </c>
      <c r="Z14" s="245">
        <v>9672</v>
      </c>
      <c r="AA14" s="22"/>
      <c r="AB14" s="252">
        <f t="shared" si="0"/>
        <v>23176</v>
      </c>
      <c r="AC14" s="224">
        <f t="shared" si="1"/>
        <v>-13504</v>
      </c>
      <c r="AD14" s="8">
        <f t="shared" si="2"/>
        <v>-0.58267172937521572</v>
      </c>
    </row>
    <row r="15" spans="1:30" x14ac:dyDescent="0.4">
      <c r="A15" s="124" t="s">
        <v>36</v>
      </c>
      <c r="B15" s="178" t="s">
        <v>39</v>
      </c>
      <c r="C15" s="237">
        <v>25000</v>
      </c>
      <c r="D15" s="138">
        <v>2083.3333333333335</v>
      </c>
      <c r="E15" s="194" t="s">
        <v>19</v>
      </c>
      <c r="F15" s="137"/>
      <c r="G15" s="137"/>
      <c r="H15" s="138">
        <v>25006</v>
      </c>
      <c r="I15" s="137"/>
      <c r="J15" s="137"/>
      <c r="K15" s="137"/>
      <c r="L15" s="137"/>
      <c r="M15" s="137"/>
      <c r="N15" s="137"/>
      <c r="O15" s="137"/>
      <c r="P15" s="137"/>
      <c r="Q15" s="137"/>
      <c r="R15" s="237">
        <v>25006</v>
      </c>
      <c r="S15" s="23"/>
      <c r="T15" s="137"/>
      <c r="U15" s="137"/>
      <c r="V15" s="137"/>
      <c r="W15" s="137"/>
      <c r="X15" s="137"/>
      <c r="Y15" s="137"/>
      <c r="Z15" s="245"/>
      <c r="AA15" s="22"/>
      <c r="AB15" s="252">
        <f t="shared" si="0"/>
        <v>25006</v>
      </c>
      <c r="AC15" s="224">
        <f t="shared" si="1"/>
        <v>-25006</v>
      </c>
      <c r="AD15" s="8">
        <f t="shared" si="2"/>
        <v>-1</v>
      </c>
    </row>
    <row r="16" spans="1:30" x14ac:dyDescent="0.4">
      <c r="A16" s="124" t="s">
        <v>38</v>
      </c>
      <c r="B16" s="178" t="s">
        <v>49</v>
      </c>
      <c r="C16" s="237">
        <v>180000</v>
      </c>
      <c r="D16" s="138">
        <v>15000</v>
      </c>
      <c r="E16" s="194" t="s">
        <v>19</v>
      </c>
      <c r="F16" s="137"/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237"/>
      <c r="S16" s="23"/>
      <c r="T16" s="137"/>
      <c r="U16" s="137"/>
      <c r="V16" s="137"/>
      <c r="W16" s="137"/>
      <c r="X16" s="137"/>
      <c r="Y16" s="137"/>
      <c r="Z16" s="245"/>
      <c r="AA16" s="22"/>
      <c r="AB16" s="252">
        <f t="shared" si="0"/>
        <v>0</v>
      </c>
      <c r="AC16" s="224">
        <f t="shared" si="1"/>
        <v>0</v>
      </c>
      <c r="AD16" s="8" t="e">
        <f t="shared" si="2"/>
        <v>#DIV/0!</v>
      </c>
    </row>
    <row r="17" spans="1:30" x14ac:dyDescent="0.4">
      <c r="A17" s="124" t="s">
        <v>52</v>
      </c>
      <c r="B17" s="178" t="s">
        <v>53</v>
      </c>
      <c r="C17" s="238">
        <v>50833.05</v>
      </c>
      <c r="D17" s="139">
        <v>4236.0874999999996</v>
      </c>
      <c r="E17" s="194" t="s">
        <v>19</v>
      </c>
      <c r="F17" s="139">
        <v>3740.66</v>
      </c>
      <c r="G17" s="139">
        <v>1826.57</v>
      </c>
      <c r="H17" s="139">
        <v>1317.68</v>
      </c>
      <c r="I17" s="139">
        <v>342.19</v>
      </c>
      <c r="J17" s="139">
        <v>624.01</v>
      </c>
      <c r="K17" s="139">
        <v>14698.89</v>
      </c>
      <c r="L17" s="139">
        <v>551.74</v>
      </c>
      <c r="M17" s="139">
        <v>2972.66</v>
      </c>
      <c r="N17" s="139">
        <v>1646.88</v>
      </c>
      <c r="O17" s="139">
        <v>23799</v>
      </c>
      <c r="P17" s="139">
        <v>660</v>
      </c>
      <c r="Q17" s="139">
        <v>1949.64</v>
      </c>
      <c r="R17" s="238">
        <v>54129.919999999998</v>
      </c>
      <c r="S17" s="23"/>
      <c r="T17" s="139">
        <v>9288.98</v>
      </c>
      <c r="U17" s="139">
        <v>1630</v>
      </c>
      <c r="V17" s="139">
        <v>3155</v>
      </c>
      <c r="W17" s="264">
        <v>365434.51</v>
      </c>
      <c r="X17" s="139">
        <v>530</v>
      </c>
      <c r="Y17" s="139">
        <v>4925</v>
      </c>
      <c r="Z17" s="246">
        <v>384963.49</v>
      </c>
      <c r="AA17" s="23"/>
      <c r="AB17" s="253">
        <f t="shared" si="0"/>
        <v>22550</v>
      </c>
      <c r="AC17" s="11">
        <f t="shared" si="1"/>
        <v>362413.49</v>
      </c>
      <c r="AD17" s="12">
        <f t="shared" si="2"/>
        <v>16.071551662971174</v>
      </c>
    </row>
    <row r="18" spans="1:30" x14ac:dyDescent="0.4">
      <c r="A18" s="124"/>
      <c r="B18" s="178" t="s">
        <v>54</v>
      </c>
      <c r="C18" s="238">
        <v>3898724.23</v>
      </c>
      <c r="D18" s="139">
        <v>324893.68583333335</v>
      </c>
      <c r="E18" s="194" t="s">
        <v>19</v>
      </c>
      <c r="F18" s="139">
        <v>402306.5</v>
      </c>
      <c r="G18" s="139">
        <v>184387.45</v>
      </c>
      <c r="H18" s="139">
        <v>451492.92</v>
      </c>
      <c r="I18" s="139">
        <v>227613.48</v>
      </c>
      <c r="J18" s="139">
        <v>363821.28</v>
      </c>
      <c r="K18" s="139">
        <v>382166.17</v>
      </c>
      <c r="L18" s="139">
        <v>184677.03</v>
      </c>
      <c r="M18" s="139">
        <v>440662.12</v>
      </c>
      <c r="N18" s="139">
        <v>195202.77</v>
      </c>
      <c r="O18" s="139">
        <v>140679.03</v>
      </c>
      <c r="P18" s="139">
        <v>335165</v>
      </c>
      <c r="Q18" s="139">
        <v>231490.9</v>
      </c>
      <c r="R18" s="238">
        <v>3539664.65</v>
      </c>
      <c r="S18" s="23"/>
      <c r="T18" s="139">
        <v>313621.02</v>
      </c>
      <c r="U18" s="139">
        <v>167989.84</v>
      </c>
      <c r="V18" s="139">
        <v>562857.55000000005</v>
      </c>
      <c r="W18" s="139">
        <v>528695.39</v>
      </c>
      <c r="X18" s="139">
        <v>381081.75</v>
      </c>
      <c r="Y18" s="139">
        <v>464282.49</v>
      </c>
      <c r="Z18" s="246">
        <v>2418528.04</v>
      </c>
      <c r="AA18" s="23"/>
      <c r="AB18" s="238">
        <f>SUM(AB8:AB17)</f>
        <v>2011787.8</v>
      </c>
      <c r="AC18" s="11">
        <f>SUM(AC8:AC17)</f>
        <v>406740.24000000005</v>
      </c>
      <c r="AD18" s="12">
        <f>+AC18/AB18</f>
        <v>0.20217850013803645</v>
      </c>
    </row>
    <row r="19" spans="1:30" x14ac:dyDescent="0.4">
      <c r="A19" s="124"/>
      <c r="B19" s="178"/>
      <c r="C19" s="237"/>
      <c r="D19" s="137"/>
      <c r="E19" s="194" t="s">
        <v>19</v>
      </c>
      <c r="F19" s="137"/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7"/>
      <c r="R19" s="237"/>
      <c r="S19" s="128"/>
      <c r="T19" s="137"/>
      <c r="U19" s="137"/>
      <c r="V19" s="137"/>
      <c r="W19" s="137"/>
      <c r="X19" s="137"/>
      <c r="Y19" s="137"/>
      <c r="Z19" s="245"/>
      <c r="AA19" s="126"/>
      <c r="AB19" s="237"/>
      <c r="AC19" s="4"/>
      <c r="AD19" s="5"/>
    </row>
    <row r="20" spans="1:30" x14ac:dyDescent="0.4">
      <c r="A20" s="124"/>
      <c r="B20" s="178" t="s">
        <v>55</v>
      </c>
      <c r="C20" s="237"/>
      <c r="D20" s="137"/>
      <c r="E20" s="194" t="s">
        <v>19</v>
      </c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237"/>
      <c r="S20" s="128"/>
      <c r="T20" s="137"/>
      <c r="U20" s="137"/>
      <c r="V20" s="137"/>
      <c r="W20" s="137"/>
      <c r="X20" s="137"/>
      <c r="Y20" s="137"/>
      <c r="Z20" s="245"/>
      <c r="AA20" s="126"/>
      <c r="AB20" s="237"/>
      <c r="AC20" s="4"/>
      <c r="AD20" s="5"/>
    </row>
    <row r="21" spans="1:30" x14ac:dyDescent="0.4">
      <c r="A21" s="124"/>
      <c r="B21" s="178" t="s">
        <v>56</v>
      </c>
      <c r="C21" s="237">
        <v>2235651.81</v>
      </c>
      <c r="D21" s="138">
        <v>186304.3175</v>
      </c>
      <c r="E21" s="194" t="s">
        <v>19</v>
      </c>
      <c r="F21" s="138">
        <v>188100.13</v>
      </c>
      <c r="G21" s="138">
        <v>181069.95</v>
      </c>
      <c r="H21" s="138">
        <v>185156.33</v>
      </c>
      <c r="I21" s="138">
        <v>195237.34</v>
      </c>
      <c r="J21" s="138">
        <v>196845.55</v>
      </c>
      <c r="K21" s="138">
        <v>185475.53</v>
      </c>
      <c r="L21" s="138">
        <v>187285.83</v>
      </c>
      <c r="M21" s="138">
        <v>193219.53</v>
      </c>
      <c r="N21" s="138">
        <v>188666.53</v>
      </c>
      <c r="O21" s="138">
        <v>185728.2</v>
      </c>
      <c r="P21" s="138">
        <v>193574.06</v>
      </c>
      <c r="Q21" s="138">
        <v>213938.19</v>
      </c>
      <c r="R21" s="237">
        <v>2294297.17</v>
      </c>
      <c r="S21" s="23"/>
      <c r="T21" s="138">
        <v>194722.97</v>
      </c>
      <c r="U21" s="138">
        <v>196275.64</v>
      </c>
      <c r="V21" s="138">
        <v>217284.1</v>
      </c>
      <c r="W21" s="138">
        <v>210101.97</v>
      </c>
      <c r="X21" s="138">
        <v>200106.4</v>
      </c>
      <c r="Y21" s="138">
        <v>198539.5</v>
      </c>
      <c r="Z21" s="245">
        <v>1217030.58</v>
      </c>
      <c r="AA21" s="22"/>
      <c r="AB21" s="252">
        <f t="shared" ref="AB21:AB26" si="3">SUM(F21:K21)</f>
        <v>1131884.83</v>
      </c>
      <c r="AC21" s="224">
        <f>+Z21-AB21</f>
        <v>85145.75</v>
      </c>
      <c r="AD21" s="8">
        <f>+AC21/AB21</f>
        <v>7.5224747026603395E-2</v>
      </c>
    </row>
    <row r="22" spans="1:30" x14ac:dyDescent="0.4">
      <c r="A22" s="124"/>
      <c r="B22" s="178" t="s">
        <v>57</v>
      </c>
      <c r="C22" s="237">
        <v>69949.98</v>
      </c>
      <c r="D22" s="138">
        <v>5829.165</v>
      </c>
      <c r="E22" s="194" t="s">
        <v>19</v>
      </c>
      <c r="F22" s="138">
        <v>74</v>
      </c>
      <c r="G22" s="138"/>
      <c r="H22" s="138">
        <v>494</v>
      </c>
      <c r="I22" s="138">
        <v>182</v>
      </c>
      <c r="J22" s="138">
        <v>210</v>
      </c>
      <c r="K22" s="138">
        <v>37</v>
      </c>
      <c r="L22" s="138"/>
      <c r="M22" s="138">
        <v>149.9</v>
      </c>
      <c r="N22" s="138"/>
      <c r="O22" s="138"/>
      <c r="P22" s="138"/>
      <c r="Q22" s="138"/>
      <c r="R22" s="237">
        <v>1146.9000000000001</v>
      </c>
      <c r="S22" s="23"/>
      <c r="T22" s="138"/>
      <c r="U22" s="138"/>
      <c r="V22" s="138"/>
      <c r="W22" s="138"/>
      <c r="X22" s="138"/>
      <c r="Y22" s="138"/>
      <c r="Z22" s="245"/>
      <c r="AA22" s="22"/>
      <c r="AB22" s="252">
        <f t="shared" si="3"/>
        <v>997</v>
      </c>
      <c r="AC22" s="224">
        <f t="shared" ref="AC22:AC26" si="4">+Z22-AB22</f>
        <v>-997</v>
      </c>
      <c r="AD22" s="8">
        <f t="shared" ref="AD22:AD26" si="5">+AC22/AB22</f>
        <v>-1</v>
      </c>
    </row>
    <row r="23" spans="1:30" x14ac:dyDescent="0.4">
      <c r="A23" s="124"/>
      <c r="B23" s="178" t="s">
        <v>58</v>
      </c>
      <c r="C23" s="237">
        <v>262878.45</v>
      </c>
      <c r="D23" s="138">
        <v>21906.537499999999</v>
      </c>
      <c r="E23" s="194" t="s">
        <v>19</v>
      </c>
      <c r="F23" s="138">
        <v>17634.689999999999</v>
      </c>
      <c r="G23" s="138">
        <v>14906.32</v>
      </c>
      <c r="H23" s="138">
        <v>18883.59</v>
      </c>
      <c r="I23" s="138">
        <v>18046.22</v>
      </c>
      <c r="J23" s="138">
        <v>30692.84</v>
      </c>
      <c r="K23" s="138">
        <v>29840.41</v>
      </c>
      <c r="L23" s="138">
        <v>22423.83</v>
      </c>
      <c r="M23" s="138">
        <v>35640.57</v>
      </c>
      <c r="N23" s="138">
        <v>12651.34</v>
      </c>
      <c r="O23" s="138">
        <v>17653.599999999999</v>
      </c>
      <c r="P23" s="138">
        <v>13618.9</v>
      </c>
      <c r="Q23" s="138">
        <v>11441.03</v>
      </c>
      <c r="R23" s="237">
        <v>243433.34</v>
      </c>
      <c r="S23" s="23"/>
      <c r="T23" s="138">
        <v>12121.48</v>
      </c>
      <c r="U23" s="138">
        <v>15358.32</v>
      </c>
      <c r="V23" s="138">
        <v>13212.37</v>
      </c>
      <c r="W23" s="138">
        <v>33830.410000000003</v>
      </c>
      <c r="X23" s="138">
        <v>16488.009999999998</v>
      </c>
      <c r="Y23" s="138">
        <v>32681.64</v>
      </c>
      <c r="Z23" s="245">
        <v>123692.23</v>
      </c>
      <c r="AA23" s="22"/>
      <c r="AB23" s="252">
        <f t="shared" si="3"/>
        <v>130004.07</v>
      </c>
      <c r="AC23" s="224">
        <f t="shared" si="4"/>
        <v>-6311.8400000000111</v>
      </c>
      <c r="AD23" s="8">
        <f t="shared" si="5"/>
        <v>-4.8551095361860676E-2</v>
      </c>
    </row>
    <row r="24" spans="1:30" x14ac:dyDescent="0.4">
      <c r="A24" s="124"/>
      <c r="B24" s="178" t="s">
        <v>59</v>
      </c>
      <c r="C24" s="237">
        <v>214843.46</v>
      </c>
      <c r="D24" s="138">
        <v>17903.621666666666</v>
      </c>
      <c r="E24" s="194" t="s">
        <v>19</v>
      </c>
      <c r="F24" s="138">
        <v>33931.9</v>
      </c>
      <c r="G24" s="138">
        <v>17752.89</v>
      </c>
      <c r="H24" s="138">
        <v>21761.7</v>
      </c>
      <c r="I24" s="138">
        <v>15480.03</v>
      </c>
      <c r="J24" s="138">
        <v>17635.37</v>
      </c>
      <c r="K24" s="138">
        <v>11043.66</v>
      </c>
      <c r="L24" s="138">
        <v>11667.58</v>
      </c>
      <c r="M24" s="138">
        <v>14607.12</v>
      </c>
      <c r="N24" s="138">
        <v>9571.2800000000007</v>
      </c>
      <c r="O24" s="138">
        <v>17625.919999999998</v>
      </c>
      <c r="P24" s="138">
        <v>18050.63</v>
      </c>
      <c r="Q24" s="138">
        <v>26747.84</v>
      </c>
      <c r="R24" s="237">
        <v>215875.92</v>
      </c>
      <c r="S24" s="23"/>
      <c r="T24" s="138">
        <v>19144.46</v>
      </c>
      <c r="U24" s="138">
        <v>17100.14</v>
      </c>
      <c r="V24" s="138">
        <v>25838.34</v>
      </c>
      <c r="W24" s="138">
        <v>19553.07</v>
      </c>
      <c r="X24" s="138">
        <v>26886.68</v>
      </c>
      <c r="Y24" s="138">
        <v>15332.07</v>
      </c>
      <c r="Z24" s="245">
        <v>123854.76</v>
      </c>
      <c r="AA24" s="22"/>
      <c r="AB24" s="252">
        <f t="shared" si="3"/>
        <v>117605.55</v>
      </c>
      <c r="AC24" s="224">
        <f t="shared" si="4"/>
        <v>6249.2099999999919</v>
      </c>
      <c r="AD24" s="8">
        <f t="shared" si="5"/>
        <v>5.3137033073694155E-2</v>
      </c>
    </row>
    <row r="25" spans="1:30" x14ac:dyDescent="0.4">
      <c r="A25" s="124"/>
      <c r="B25" s="178" t="s">
        <v>60</v>
      </c>
      <c r="C25" s="237">
        <v>318933.07</v>
      </c>
      <c r="D25" s="138">
        <v>26577.755833333333</v>
      </c>
      <c r="E25" s="194" t="s">
        <v>19</v>
      </c>
      <c r="F25" s="138">
        <v>32507</v>
      </c>
      <c r="G25" s="138">
        <v>42633.29</v>
      </c>
      <c r="H25" s="138">
        <v>33048.61</v>
      </c>
      <c r="I25" s="138">
        <v>27495.59</v>
      </c>
      <c r="J25" s="138">
        <v>43086.97</v>
      </c>
      <c r="K25" s="138">
        <v>27229.64</v>
      </c>
      <c r="L25" s="138">
        <v>22535.96</v>
      </c>
      <c r="M25" s="138">
        <v>18741.919999999998</v>
      </c>
      <c r="N25" s="138">
        <v>20816.900000000001</v>
      </c>
      <c r="O25" s="138">
        <v>33052.879999999997</v>
      </c>
      <c r="P25" s="138">
        <v>10408.540000000001</v>
      </c>
      <c r="Q25" s="138">
        <v>23991.38</v>
      </c>
      <c r="R25" s="237">
        <v>335548.68</v>
      </c>
      <c r="S25" s="23"/>
      <c r="T25" s="138">
        <v>17281.22</v>
      </c>
      <c r="U25" s="138">
        <v>36461.82</v>
      </c>
      <c r="V25" s="138">
        <v>17042.18</v>
      </c>
      <c r="W25" s="138">
        <v>25706.55</v>
      </c>
      <c r="X25" s="138">
        <v>22834.560000000001</v>
      </c>
      <c r="Y25" s="138">
        <v>36237.17</v>
      </c>
      <c r="Z25" s="245">
        <v>155563.5</v>
      </c>
      <c r="AA25" s="22"/>
      <c r="AB25" s="252">
        <f t="shared" si="3"/>
        <v>206001.10000000003</v>
      </c>
      <c r="AC25" s="224">
        <f t="shared" si="4"/>
        <v>-50437.600000000035</v>
      </c>
      <c r="AD25" s="8">
        <f t="shared" si="5"/>
        <v>-0.24484141104100912</v>
      </c>
    </row>
    <row r="26" spans="1:30" x14ac:dyDescent="0.4">
      <c r="A26" s="124"/>
      <c r="B26" s="178" t="s">
        <v>61</v>
      </c>
      <c r="C26" s="238">
        <v>19552.89</v>
      </c>
      <c r="D26" s="139">
        <v>1629.4075</v>
      </c>
      <c r="E26" s="194" t="s">
        <v>19</v>
      </c>
      <c r="F26" s="139">
        <v>3541.75</v>
      </c>
      <c r="G26" s="139">
        <v>117</v>
      </c>
      <c r="H26" s="139">
        <v>1698.11</v>
      </c>
      <c r="I26" s="139">
        <v>5910.67</v>
      </c>
      <c r="J26" s="139">
        <v>1615.76</v>
      </c>
      <c r="K26" s="139">
        <v>129</v>
      </c>
      <c r="L26" s="139">
        <v>129</v>
      </c>
      <c r="M26" s="139">
        <v>129</v>
      </c>
      <c r="N26" s="139">
        <v>129</v>
      </c>
      <c r="O26" s="139">
        <v>129</v>
      </c>
      <c r="P26" s="139">
        <v>379</v>
      </c>
      <c r="Q26" s="139">
        <v>1209.17</v>
      </c>
      <c r="R26" s="238">
        <v>15116.46</v>
      </c>
      <c r="S26" s="23"/>
      <c r="T26" s="139">
        <v>2069</v>
      </c>
      <c r="U26" s="139">
        <v>929.5</v>
      </c>
      <c r="V26" s="139">
        <v>279.5</v>
      </c>
      <c r="W26" s="139">
        <v>979.5</v>
      </c>
      <c r="X26" s="139">
        <v>1479.5</v>
      </c>
      <c r="Y26" s="139">
        <v>1480.34</v>
      </c>
      <c r="Z26" s="246">
        <v>7217.34</v>
      </c>
      <c r="AA26" s="23"/>
      <c r="AB26" s="253">
        <f t="shared" si="3"/>
        <v>13012.289999999999</v>
      </c>
      <c r="AC26" s="11">
        <f t="shared" si="4"/>
        <v>-5794.9499999999989</v>
      </c>
      <c r="AD26" s="12">
        <f t="shared" si="5"/>
        <v>-0.44534436290614482</v>
      </c>
    </row>
    <row r="27" spans="1:30" x14ac:dyDescent="0.4">
      <c r="A27" s="124"/>
      <c r="B27" s="178" t="s">
        <v>62</v>
      </c>
      <c r="C27" s="238">
        <v>3121809.66</v>
      </c>
      <c r="D27" s="139">
        <v>260150.80499999999</v>
      </c>
      <c r="E27" s="194" t="s">
        <v>19</v>
      </c>
      <c r="F27" s="139">
        <v>275789.46999999997</v>
      </c>
      <c r="G27" s="139">
        <v>256479.45</v>
      </c>
      <c r="H27" s="139">
        <v>261042.34</v>
      </c>
      <c r="I27" s="139">
        <v>262351.84999999998</v>
      </c>
      <c r="J27" s="139">
        <v>290086.49</v>
      </c>
      <c r="K27" s="139">
        <v>253755.24</v>
      </c>
      <c r="L27" s="139">
        <v>244042.2</v>
      </c>
      <c r="M27" s="139">
        <v>262488.03999999998</v>
      </c>
      <c r="N27" s="139">
        <v>231835.05</v>
      </c>
      <c r="O27" s="139">
        <v>254189.6</v>
      </c>
      <c r="P27" s="139">
        <v>236031.13</v>
      </c>
      <c r="Q27" s="139">
        <v>277327.61</v>
      </c>
      <c r="R27" s="238">
        <v>3105418.47</v>
      </c>
      <c r="S27" s="23"/>
      <c r="T27" s="139">
        <v>245339.13</v>
      </c>
      <c r="U27" s="139">
        <v>266125.42</v>
      </c>
      <c r="V27" s="139">
        <v>273656.49</v>
      </c>
      <c r="W27" s="139">
        <v>290171.5</v>
      </c>
      <c r="X27" s="139">
        <v>267795.15000000002</v>
      </c>
      <c r="Y27" s="139">
        <v>284270.71999999997</v>
      </c>
      <c r="Z27" s="246">
        <v>1627358.41</v>
      </c>
      <c r="AA27" s="23"/>
      <c r="AB27" s="238">
        <f>SUM(AB21:AB26)</f>
        <v>1599504.8400000003</v>
      </c>
      <c r="AC27" s="139">
        <f t="shared" ref="AC27" si="6">SUM(AC21:AC26)</f>
        <v>27853.569999999949</v>
      </c>
      <c r="AD27" s="12">
        <f t="shared" ref="AD27" si="7">+AC27/AB27</f>
        <v>1.741387040754434E-2</v>
      </c>
    </row>
    <row r="28" spans="1:30" x14ac:dyDescent="0.4">
      <c r="A28" s="124"/>
      <c r="B28" s="178"/>
      <c r="C28" s="237"/>
      <c r="D28" s="137"/>
      <c r="E28" s="194" t="s">
        <v>19</v>
      </c>
      <c r="F28" s="137"/>
      <c r="G28" s="137"/>
      <c r="H28" s="137"/>
      <c r="I28" s="137"/>
      <c r="J28" s="137"/>
      <c r="K28" s="137"/>
      <c r="L28" s="137"/>
      <c r="M28" s="137"/>
      <c r="N28" s="137"/>
      <c r="O28" s="137"/>
      <c r="P28" s="137"/>
      <c r="Q28" s="137"/>
      <c r="R28" s="237"/>
      <c r="S28" s="128"/>
      <c r="T28" s="137"/>
      <c r="U28" s="137"/>
      <c r="V28" s="137"/>
      <c r="W28" s="137"/>
      <c r="X28" s="137"/>
      <c r="Y28" s="137"/>
      <c r="Z28" s="245"/>
      <c r="AA28" s="126"/>
      <c r="AB28" s="237"/>
      <c r="AC28" s="4"/>
      <c r="AD28" s="5"/>
    </row>
    <row r="29" spans="1:30" s="37" customFormat="1" x14ac:dyDescent="0.4">
      <c r="A29" s="129"/>
      <c r="B29" s="178" t="s">
        <v>63</v>
      </c>
      <c r="C29" s="237"/>
      <c r="D29" s="137"/>
      <c r="E29" s="194" t="s">
        <v>19</v>
      </c>
      <c r="F29" s="137"/>
      <c r="G29" s="137"/>
      <c r="H29" s="137"/>
      <c r="I29" s="137"/>
      <c r="J29" s="137"/>
      <c r="K29" s="137"/>
      <c r="L29" s="137"/>
      <c r="M29" s="137"/>
      <c r="N29" s="137"/>
      <c r="O29" s="137"/>
      <c r="P29" s="137"/>
      <c r="Q29" s="137"/>
      <c r="R29" s="237"/>
      <c r="S29" s="23"/>
      <c r="T29" s="137"/>
      <c r="U29" s="137"/>
      <c r="V29" s="137"/>
      <c r="W29" s="137"/>
      <c r="X29" s="137"/>
      <c r="Y29" s="137"/>
      <c r="Z29" s="245"/>
      <c r="AA29" s="126"/>
      <c r="AB29" s="237"/>
      <c r="AC29" s="4"/>
      <c r="AD29" s="5"/>
    </row>
    <row r="30" spans="1:30" x14ac:dyDescent="0.4">
      <c r="A30" s="124" t="s">
        <v>66</v>
      </c>
      <c r="B30" s="178" t="s">
        <v>67</v>
      </c>
      <c r="C30" s="237">
        <v>415992</v>
      </c>
      <c r="D30" s="138">
        <v>34666</v>
      </c>
      <c r="E30" s="194" t="s">
        <v>19</v>
      </c>
      <c r="F30" s="138">
        <v>34666</v>
      </c>
      <c r="G30" s="138">
        <v>34666</v>
      </c>
      <c r="H30" s="138">
        <v>34666</v>
      </c>
      <c r="I30" s="138">
        <v>34666</v>
      </c>
      <c r="J30" s="138">
        <v>34666</v>
      </c>
      <c r="K30" s="138">
        <v>34666</v>
      </c>
      <c r="L30" s="138">
        <v>34666</v>
      </c>
      <c r="M30" s="138">
        <v>34666</v>
      </c>
      <c r="N30" s="138">
        <v>34666</v>
      </c>
      <c r="O30" s="138">
        <v>34666</v>
      </c>
      <c r="P30" s="138">
        <v>34666</v>
      </c>
      <c r="Q30" s="138">
        <v>34666</v>
      </c>
      <c r="R30" s="237">
        <v>415992</v>
      </c>
      <c r="S30" s="23"/>
      <c r="T30" s="138">
        <v>34666</v>
      </c>
      <c r="U30" s="138">
        <v>34666</v>
      </c>
      <c r="V30" s="138">
        <v>34666</v>
      </c>
      <c r="W30" s="138">
        <v>34666</v>
      </c>
      <c r="X30" s="138">
        <v>34666</v>
      </c>
      <c r="Y30" s="138">
        <v>34666</v>
      </c>
      <c r="Z30" s="245">
        <v>207996</v>
      </c>
      <c r="AA30" s="22"/>
      <c r="AB30" s="252">
        <f>SUM(F30:K30)</f>
        <v>207996</v>
      </c>
      <c r="AC30" s="224">
        <f>+Z30-AB30</f>
        <v>0</v>
      </c>
      <c r="AD30" s="8">
        <f>+AC30/AB30</f>
        <v>0</v>
      </c>
    </row>
    <row r="31" spans="1:30" x14ac:dyDescent="0.4">
      <c r="A31" s="124" t="s">
        <v>68</v>
      </c>
      <c r="B31" s="178" t="s">
        <v>69</v>
      </c>
      <c r="C31" s="238">
        <v>55464</v>
      </c>
      <c r="D31" s="139">
        <v>4622</v>
      </c>
      <c r="E31" s="194" t="s">
        <v>19</v>
      </c>
      <c r="F31" s="139">
        <v>4622</v>
      </c>
      <c r="G31" s="139">
        <v>4622</v>
      </c>
      <c r="H31" s="139">
        <v>4622</v>
      </c>
      <c r="I31" s="139">
        <v>4622</v>
      </c>
      <c r="J31" s="139">
        <v>4622</v>
      </c>
      <c r="K31" s="139">
        <v>4622</v>
      </c>
      <c r="L31" s="139">
        <v>4622</v>
      </c>
      <c r="M31" s="139">
        <v>4622</v>
      </c>
      <c r="N31" s="139">
        <v>4622</v>
      </c>
      <c r="O31" s="139">
        <v>4622</v>
      </c>
      <c r="P31" s="139">
        <v>4622</v>
      </c>
      <c r="Q31" s="139">
        <v>4622</v>
      </c>
      <c r="R31" s="238">
        <v>55464</v>
      </c>
      <c r="S31" s="23"/>
      <c r="T31" s="139">
        <v>4622</v>
      </c>
      <c r="U31" s="139">
        <v>4622</v>
      </c>
      <c r="V31" s="139">
        <v>4622</v>
      </c>
      <c r="W31" s="139">
        <v>4622</v>
      </c>
      <c r="X31" s="139">
        <v>4622</v>
      </c>
      <c r="Y31" s="139">
        <v>4622</v>
      </c>
      <c r="Z31" s="246">
        <v>27732</v>
      </c>
      <c r="AA31" s="23"/>
      <c r="AB31" s="253">
        <f>SUM(F31:K31)</f>
        <v>27732</v>
      </c>
      <c r="AC31" s="11">
        <f>+Z31-AB31</f>
        <v>0</v>
      </c>
      <c r="AD31" s="12">
        <f>+AC31/AB31</f>
        <v>0</v>
      </c>
    </row>
    <row r="32" spans="1:30" x14ac:dyDescent="0.4">
      <c r="A32" s="124"/>
      <c r="B32" s="178" t="s">
        <v>70</v>
      </c>
      <c r="C32" s="238">
        <v>471456</v>
      </c>
      <c r="D32" s="139">
        <v>39288</v>
      </c>
      <c r="E32" s="194" t="s">
        <v>19</v>
      </c>
      <c r="F32" s="139">
        <v>39288</v>
      </c>
      <c r="G32" s="139">
        <v>39288</v>
      </c>
      <c r="H32" s="139">
        <v>39288</v>
      </c>
      <c r="I32" s="139">
        <v>39288</v>
      </c>
      <c r="J32" s="139">
        <v>39288</v>
      </c>
      <c r="K32" s="139">
        <v>39288</v>
      </c>
      <c r="L32" s="139">
        <v>39288</v>
      </c>
      <c r="M32" s="139">
        <v>39288</v>
      </c>
      <c r="N32" s="139">
        <v>39288</v>
      </c>
      <c r="O32" s="139">
        <v>39288</v>
      </c>
      <c r="P32" s="139">
        <v>39288</v>
      </c>
      <c r="Q32" s="139">
        <v>39288</v>
      </c>
      <c r="R32" s="238">
        <v>471456</v>
      </c>
      <c r="S32" s="128"/>
      <c r="T32" s="139">
        <v>39288</v>
      </c>
      <c r="U32" s="139">
        <v>39288</v>
      </c>
      <c r="V32" s="139">
        <v>39288</v>
      </c>
      <c r="W32" s="139">
        <v>39288</v>
      </c>
      <c r="X32" s="139">
        <v>39288</v>
      </c>
      <c r="Y32" s="139">
        <v>39288</v>
      </c>
      <c r="Z32" s="246">
        <v>235728</v>
      </c>
      <c r="AA32" s="23"/>
      <c r="AB32" s="238">
        <f>SUM(AB30:AB31)</f>
        <v>235728</v>
      </c>
      <c r="AC32" s="11">
        <f>SUM(AC30:AC31)</f>
        <v>0</v>
      </c>
      <c r="AD32" s="12">
        <f>+AC32/AB32</f>
        <v>0</v>
      </c>
    </row>
    <row r="33" spans="1:30" x14ac:dyDescent="0.4">
      <c r="A33" s="124"/>
      <c r="B33" s="178"/>
      <c r="C33" s="237"/>
      <c r="D33" s="137"/>
      <c r="E33" s="194" t="s">
        <v>19</v>
      </c>
      <c r="F33" s="137"/>
      <c r="G33" s="137"/>
      <c r="H33" s="137"/>
      <c r="I33" s="137"/>
      <c r="J33" s="137"/>
      <c r="K33" s="137"/>
      <c r="L33" s="137"/>
      <c r="M33" s="137"/>
      <c r="N33" s="137"/>
      <c r="O33" s="137"/>
      <c r="P33" s="137"/>
      <c r="Q33" s="137"/>
      <c r="R33" s="237"/>
      <c r="S33" s="23"/>
      <c r="T33" s="137"/>
      <c r="U33" s="137"/>
      <c r="V33" s="137"/>
      <c r="W33" s="137"/>
      <c r="X33" s="137"/>
      <c r="Y33" s="137"/>
      <c r="Z33" s="245"/>
      <c r="AA33" s="126"/>
      <c r="AB33" s="237"/>
      <c r="AC33" s="4"/>
      <c r="AD33" s="5"/>
    </row>
    <row r="34" spans="1:30" x14ac:dyDescent="0.4">
      <c r="A34" s="124"/>
      <c r="B34" s="178" t="s">
        <v>71</v>
      </c>
      <c r="C34" s="238">
        <v>3593265.66</v>
      </c>
      <c r="D34" s="139">
        <v>299438.80499999999</v>
      </c>
      <c r="E34" s="194" t="s">
        <v>19</v>
      </c>
      <c r="F34" s="139">
        <v>315077.46999999997</v>
      </c>
      <c r="G34" s="139">
        <v>295767.45</v>
      </c>
      <c r="H34" s="139">
        <v>300330.34000000003</v>
      </c>
      <c r="I34" s="139">
        <v>301639.84999999998</v>
      </c>
      <c r="J34" s="139">
        <v>329374.49</v>
      </c>
      <c r="K34" s="139">
        <v>293043.24</v>
      </c>
      <c r="L34" s="139">
        <v>283330.2</v>
      </c>
      <c r="M34" s="139">
        <v>301776.03999999998</v>
      </c>
      <c r="N34" s="139">
        <v>271123.05</v>
      </c>
      <c r="O34" s="139">
        <v>293477.59999999998</v>
      </c>
      <c r="P34" s="139">
        <v>275319.13</v>
      </c>
      <c r="Q34" s="139">
        <v>316615.61</v>
      </c>
      <c r="R34" s="238">
        <v>3576874.47</v>
      </c>
      <c r="S34" s="128"/>
      <c r="T34" s="139">
        <v>284627.13</v>
      </c>
      <c r="U34" s="139">
        <v>305413.42</v>
      </c>
      <c r="V34" s="139">
        <v>312944.49</v>
      </c>
      <c r="W34" s="139">
        <v>329459.5</v>
      </c>
      <c r="X34" s="139">
        <v>307083.15000000002</v>
      </c>
      <c r="Y34" s="139">
        <v>323558.71999999997</v>
      </c>
      <c r="Z34" s="246">
        <v>1863086.41</v>
      </c>
      <c r="AA34" s="23"/>
      <c r="AB34" s="238">
        <f>SUM(F34:K34)</f>
        <v>1835232.8399999999</v>
      </c>
      <c r="AC34" s="11">
        <f>+Z34-AB34</f>
        <v>27853.570000000065</v>
      </c>
      <c r="AD34" s="12">
        <f>+AC34/AB34</f>
        <v>1.5177131420555916E-2</v>
      </c>
    </row>
    <row r="35" spans="1:30" x14ac:dyDescent="0.4">
      <c r="A35" s="124"/>
      <c r="B35" s="178"/>
      <c r="C35" s="237"/>
      <c r="D35" s="137"/>
      <c r="E35" s="194" t="s">
        <v>19</v>
      </c>
      <c r="F35" s="137"/>
      <c r="G35" s="137"/>
      <c r="H35" s="137"/>
      <c r="I35" s="137"/>
      <c r="J35" s="137"/>
      <c r="K35" s="137"/>
      <c r="L35" s="137"/>
      <c r="M35" s="137"/>
      <c r="N35" s="137"/>
      <c r="O35" s="137"/>
      <c r="P35" s="137"/>
      <c r="Q35" s="137"/>
      <c r="R35" s="237"/>
      <c r="S35" s="128"/>
      <c r="T35" s="140"/>
      <c r="U35" s="140"/>
      <c r="V35" s="140"/>
      <c r="W35" s="140"/>
      <c r="X35" s="140"/>
      <c r="Y35" s="140"/>
      <c r="Z35" s="246"/>
      <c r="AA35" s="126"/>
      <c r="AB35" s="237"/>
      <c r="AC35" s="4"/>
      <c r="AD35" s="5"/>
    </row>
    <row r="36" spans="1:30" ht="15" thickBot="1" x14ac:dyDescent="0.45">
      <c r="A36" s="124"/>
      <c r="B36" s="178" t="s">
        <v>72</v>
      </c>
      <c r="C36" s="239">
        <v>305458.57</v>
      </c>
      <c r="D36" s="186">
        <v>25454.880833333333</v>
      </c>
      <c r="E36" s="194" t="s">
        <v>19</v>
      </c>
      <c r="F36" s="186">
        <v>87229.03</v>
      </c>
      <c r="G36" s="186">
        <v>-111380</v>
      </c>
      <c r="H36" s="186">
        <v>151162.57999999999</v>
      </c>
      <c r="I36" s="186">
        <v>-74026.37</v>
      </c>
      <c r="J36" s="186">
        <v>34446.79</v>
      </c>
      <c r="K36" s="186">
        <v>89122.93</v>
      </c>
      <c r="L36" s="186">
        <v>-98653.17</v>
      </c>
      <c r="M36" s="186">
        <v>138886.07999999999</v>
      </c>
      <c r="N36" s="186">
        <v>-75920.28</v>
      </c>
      <c r="O36" s="186">
        <v>-152798.57</v>
      </c>
      <c r="P36" s="186">
        <v>59845.87</v>
      </c>
      <c r="Q36" s="186">
        <v>-85124.71</v>
      </c>
      <c r="R36" s="239">
        <v>-37209.82</v>
      </c>
      <c r="S36" s="128"/>
      <c r="T36" s="141">
        <v>28993.89</v>
      </c>
      <c r="U36" s="141">
        <v>-137423.57999999999</v>
      </c>
      <c r="V36" s="141">
        <v>249913.06</v>
      </c>
      <c r="W36" s="141">
        <v>199235.89</v>
      </c>
      <c r="X36" s="141">
        <v>73998.600000000006</v>
      </c>
      <c r="Y36" s="141">
        <v>140723.76999999999</v>
      </c>
      <c r="Z36" s="249">
        <v>555441.63</v>
      </c>
      <c r="AA36" s="23"/>
      <c r="AB36" s="239">
        <f>SUM(F36:K36)</f>
        <v>176554.96</v>
      </c>
      <c r="AC36" s="186">
        <f>+Z36-AB36</f>
        <v>378886.67000000004</v>
      </c>
      <c r="AD36" s="14">
        <f>+AC36/AB36</f>
        <v>2.1459984471690858</v>
      </c>
    </row>
    <row r="37" spans="1:30" ht="15" thickTop="1" x14ac:dyDescent="0.4">
      <c r="A37" s="124" t="s">
        <v>75</v>
      </c>
      <c r="B37" s="178"/>
      <c r="C37" s="237"/>
      <c r="D37" s="137"/>
      <c r="E37" s="194" t="s">
        <v>19</v>
      </c>
      <c r="F37" s="137"/>
      <c r="G37" s="137"/>
      <c r="H37" s="137"/>
      <c r="I37" s="137"/>
      <c r="J37" s="137"/>
      <c r="K37" s="137"/>
      <c r="L37" s="137"/>
      <c r="M37" s="137"/>
      <c r="N37" s="137"/>
      <c r="O37" s="137"/>
      <c r="P37" s="137"/>
      <c r="Q37" s="137"/>
      <c r="R37" s="237"/>
      <c r="S37" s="23"/>
      <c r="T37" s="137"/>
      <c r="U37" s="137"/>
      <c r="V37" s="137"/>
      <c r="W37" s="137"/>
      <c r="X37" s="137"/>
      <c r="Y37" s="137"/>
      <c r="Z37" s="245"/>
      <c r="AA37" s="126"/>
      <c r="AB37" s="237"/>
      <c r="AC37" s="4"/>
      <c r="AD37" s="5"/>
    </row>
    <row r="38" spans="1:30" x14ac:dyDescent="0.4">
      <c r="A38" s="124" t="s">
        <v>77</v>
      </c>
      <c r="B38" s="178" t="s">
        <v>73</v>
      </c>
      <c r="C38" s="237"/>
      <c r="D38" s="137"/>
      <c r="E38" s="194" t="s">
        <v>19</v>
      </c>
      <c r="F38" s="137"/>
      <c r="G38" s="137"/>
      <c r="H38" s="137"/>
      <c r="I38" s="137"/>
      <c r="J38" s="137"/>
      <c r="K38" s="137"/>
      <c r="L38" s="137"/>
      <c r="M38" s="137"/>
      <c r="N38" s="137"/>
      <c r="O38" s="137"/>
      <c r="P38" s="137"/>
      <c r="Q38" s="137"/>
      <c r="R38" s="237"/>
      <c r="S38" s="23"/>
      <c r="T38" s="137"/>
      <c r="U38" s="137"/>
      <c r="V38" s="137"/>
      <c r="W38" s="137"/>
      <c r="X38" s="137"/>
      <c r="Y38" s="137"/>
      <c r="Z38" s="245"/>
      <c r="AA38" s="126"/>
      <c r="AB38" s="237"/>
      <c r="AC38" s="4"/>
      <c r="AD38" s="5"/>
    </row>
    <row r="39" spans="1:30" x14ac:dyDescent="0.4">
      <c r="A39" s="124" t="s">
        <v>79</v>
      </c>
      <c r="B39" s="178" t="s">
        <v>74</v>
      </c>
      <c r="C39" s="237"/>
      <c r="D39" s="137"/>
      <c r="E39" s="194" t="s">
        <v>19</v>
      </c>
      <c r="F39" s="137"/>
      <c r="G39" s="137"/>
      <c r="H39" s="137"/>
      <c r="I39" s="137"/>
      <c r="J39" s="137"/>
      <c r="K39" s="137"/>
      <c r="L39" s="137"/>
      <c r="M39" s="137"/>
      <c r="N39" s="137"/>
      <c r="O39" s="137"/>
      <c r="P39" s="137"/>
      <c r="Q39" s="137"/>
      <c r="R39" s="237"/>
      <c r="S39" s="23"/>
      <c r="T39" s="137"/>
      <c r="U39" s="137"/>
      <c r="V39" s="137"/>
      <c r="W39" s="137"/>
      <c r="X39" s="137"/>
      <c r="Y39" s="137"/>
      <c r="Z39" s="245"/>
      <c r="AA39" s="126"/>
      <c r="AB39" s="237"/>
      <c r="AC39" s="4"/>
      <c r="AD39" s="5"/>
    </row>
    <row r="40" spans="1:30" x14ac:dyDescent="0.4">
      <c r="A40" s="124" t="s">
        <v>81</v>
      </c>
      <c r="B40" s="178" t="s">
        <v>76</v>
      </c>
      <c r="C40" s="237">
        <v>1670719.04</v>
      </c>
      <c r="D40" s="138">
        <v>139226.58666666667</v>
      </c>
      <c r="E40" s="194" t="s">
        <v>19</v>
      </c>
      <c r="F40" s="138">
        <v>140735.81</v>
      </c>
      <c r="G40" s="138">
        <v>134611.75</v>
      </c>
      <c r="H40" s="138">
        <v>137746.82999999999</v>
      </c>
      <c r="I40" s="138">
        <v>139297.82999999999</v>
      </c>
      <c r="J40" s="138">
        <v>143590.23000000001</v>
      </c>
      <c r="K40" s="138">
        <v>138750.07</v>
      </c>
      <c r="L40" s="138">
        <v>138370.31</v>
      </c>
      <c r="M40" s="138">
        <v>143725.92000000001</v>
      </c>
      <c r="N40" s="138">
        <v>140456.26</v>
      </c>
      <c r="O40" s="138">
        <v>136653.59</v>
      </c>
      <c r="P40" s="138">
        <v>140459.28</v>
      </c>
      <c r="Q40" s="138">
        <v>163633.17000000001</v>
      </c>
      <c r="R40" s="237">
        <v>1698031.05</v>
      </c>
      <c r="S40" s="23"/>
      <c r="T40" s="138">
        <v>144873.98000000001</v>
      </c>
      <c r="U40" s="138">
        <v>145255.23000000001</v>
      </c>
      <c r="V40" s="138">
        <v>159097.15</v>
      </c>
      <c r="W40" s="138">
        <v>147315</v>
      </c>
      <c r="X40" s="138">
        <v>143121.64000000001</v>
      </c>
      <c r="Y40" s="138">
        <v>142344.57999999999</v>
      </c>
      <c r="Z40" s="245">
        <v>882007.58</v>
      </c>
      <c r="AA40" s="126"/>
      <c r="AB40" s="252">
        <f t="shared" ref="AB40:AB46" si="8">SUM(F40:K40)</f>
        <v>834732.52</v>
      </c>
      <c r="AC40" s="224">
        <f>+Z40-AB40</f>
        <v>47275.059999999939</v>
      </c>
      <c r="AD40" s="8">
        <f>+AC40/AB40</f>
        <v>5.6634980508486643E-2</v>
      </c>
    </row>
    <row r="41" spans="1:30" x14ac:dyDescent="0.4">
      <c r="A41" s="124" t="s">
        <v>83</v>
      </c>
      <c r="B41" s="178" t="s">
        <v>78</v>
      </c>
      <c r="C41" s="237">
        <v>122155.97</v>
      </c>
      <c r="D41" s="138">
        <v>10179.664166666667</v>
      </c>
      <c r="E41" s="194" t="s">
        <v>19</v>
      </c>
      <c r="F41" s="138">
        <v>10642.73</v>
      </c>
      <c r="G41" s="138">
        <v>10274.209999999999</v>
      </c>
      <c r="H41" s="138">
        <v>10514.13</v>
      </c>
      <c r="I41" s="138">
        <v>10632.72</v>
      </c>
      <c r="J41" s="138">
        <v>10961.12</v>
      </c>
      <c r="K41" s="138">
        <v>10590.79</v>
      </c>
      <c r="L41" s="138">
        <v>10561.79</v>
      </c>
      <c r="M41" s="138">
        <v>10971.49</v>
      </c>
      <c r="N41" s="138">
        <v>10721.36</v>
      </c>
      <c r="O41" s="138">
        <v>10430.44</v>
      </c>
      <c r="P41" s="138">
        <v>10721.63</v>
      </c>
      <c r="Q41" s="138">
        <v>10844.73</v>
      </c>
      <c r="R41" s="237">
        <v>127867.14</v>
      </c>
      <c r="S41" s="23"/>
      <c r="T41" s="138">
        <v>11059.29</v>
      </c>
      <c r="U41" s="138">
        <v>11086.72</v>
      </c>
      <c r="V41" s="138">
        <v>12147.36</v>
      </c>
      <c r="W41" s="138">
        <v>11225</v>
      </c>
      <c r="X41" s="138">
        <v>10904.16</v>
      </c>
      <c r="Y41" s="138">
        <v>10844.73</v>
      </c>
      <c r="Z41" s="245">
        <v>67267.259999999995</v>
      </c>
      <c r="AA41" s="126"/>
      <c r="AB41" s="252">
        <f t="shared" si="8"/>
        <v>63615.700000000004</v>
      </c>
      <c r="AC41" s="224">
        <f t="shared" ref="AC41:AC46" si="9">+Z41-AB41</f>
        <v>3651.5599999999904</v>
      </c>
      <c r="AD41" s="8">
        <f t="shared" ref="AD41:AD46" si="10">+AC41/AB41</f>
        <v>5.7400295838920111E-2</v>
      </c>
    </row>
    <row r="42" spans="1:30" x14ac:dyDescent="0.4">
      <c r="A42" s="124" t="s">
        <v>85</v>
      </c>
      <c r="B42" s="178" t="s">
        <v>80</v>
      </c>
      <c r="C42" s="237">
        <v>15389.69</v>
      </c>
      <c r="D42" s="138">
        <v>1282.4741666666666</v>
      </c>
      <c r="E42" s="194" t="s">
        <v>19</v>
      </c>
      <c r="F42" s="138">
        <v>791.56</v>
      </c>
      <c r="G42" s="138">
        <v>349</v>
      </c>
      <c r="H42" s="138">
        <v>189.58</v>
      </c>
      <c r="I42" s="138">
        <v>8617.35</v>
      </c>
      <c r="J42" s="138">
        <v>6566.82</v>
      </c>
      <c r="K42" s="138">
        <v>2300.31</v>
      </c>
      <c r="L42" s="138">
        <v>770.43</v>
      </c>
      <c r="M42" s="138">
        <v>672.16</v>
      </c>
      <c r="N42" s="138">
        <v>356.95</v>
      </c>
      <c r="O42" s="138">
        <v>199.24</v>
      </c>
      <c r="P42" s="138">
        <v>360.77</v>
      </c>
      <c r="Q42" s="138">
        <v>245.97</v>
      </c>
      <c r="R42" s="237">
        <v>21420.14</v>
      </c>
      <c r="S42" s="23"/>
      <c r="T42" s="138">
        <v>274.08</v>
      </c>
      <c r="U42" s="138">
        <v>169.72</v>
      </c>
      <c r="V42" s="138">
        <v>367.81</v>
      </c>
      <c r="W42" s="138">
        <v>8997.34</v>
      </c>
      <c r="X42" s="138">
        <v>6106.54</v>
      </c>
      <c r="Y42" s="138">
        <v>1993.84</v>
      </c>
      <c r="Z42" s="245">
        <v>17909.330000000002</v>
      </c>
      <c r="AA42" s="126"/>
      <c r="AB42" s="252">
        <f t="shared" si="8"/>
        <v>18814.62</v>
      </c>
      <c r="AC42" s="224">
        <f t="shared" si="9"/>
        <v>-905.28999999999724</v>
      </c>
      <c r="AD42" s="8">
        <f t="shared" si="10"/>
        <v>-4.811630529875157E-2</v>
      </c>
    </row>
    <row r="43" spans="1:30" x14ac:dyDescent="0.4">
      <c r="A43" s="124" t="s">
        <v>87</v>
      </c>
      <c r="B43" s="178" t="s">
        <v>82</v>
      </c>
      <c r="C43" s="237">
        <v>32010.13</v>
      </c>
      <c r="D43" s="138">
        <v>2667.5108333333333</v>
      </c>
      <c r="E43" s="194" t="s">
        <v>19</v>
      </c>
      <c r="F43" s="138">
        <v>2814.72</v>
      </c>
      <c r="G43" s="138">
        <v>2692.23</v>
      </c>
      <c r="H43" s="138">
        <v>2759.94</v>
      </c>
      <c r="I43" s="138">
        <v>2349.1</v>
      </c>
      <c r="J43" s="138">
        <v>2871.8</v>
      </c>
      <c r="K43" s="138">
        <v>2775</v>
      </c>
      <c r="L43" s="138">
        <v>2767.41</v>
      </c>
      <c r="M43" s="138">
        <v>2874.52</v>
      </c>
      <c r="N43" s="138">
        <v>2809.13</v>
      </c>
      <c r="O43" s="138">
        <v>2733.07</v>
      </c>
      <c r="P43" s="138">
        <v>2751.7</v>
      </c>
      <c r="Q43" s="138">
        <v>2841.38</v>
      </c>
      <c r="R43" s="237">
        <v>33040</v>
      </c>
      <c r="S43" s="128"/>
      <c r="T43" s="138">
        <v>2897.48</v>
      </c>
      <c r="U43" s="138">
        <v>2905.1</v>
      </c>
      <c r="V43" s="138">
        <v>3181.94</v>
      </c>
      <c r="W43" s="138">
        <v>2946.3</v>
      </c>
      <c r="X43" s="138">
        <v>2862.43</v>
      </c>
      <c r="Y43" s="138">
        <v>2846.89</v>
      </c>
      <c r="Z43" s="245">
        <v>17640.14</v>
      </c>
      <c r="AA43" s="126"/>
      <c r="AB43" s="252">
        <f t="shared" si="8"/>
        <v>16262.79</v>
      </c>
      <c r="AC43" s="224">
        <f t="shared" si="9"/>
        <v>1377.3499999999985</v>
      </c>
      <c r="AD43" s="8">
        <f t="shared" si="10"/>
        <v>8.4693339826684005E-2</v>
      </c>
    </row>
    <row r="44" spans="1:30" x14ac:dyDescent="0.4">
      <c r="A44" s="124"/>
      <c r="B44" s="178" t="s">
        <v>84</v>
      </c>
      <c r="C44" s="237">
        <v>17176.93</v>
      </c>
      <c r="D44" s="138">
        <v>1431.4108333333334</v>
      </c>
      <c r="E44" s="194" t="s">
        <v>19</v>
      </c>
      <c r="F44" s="138">
        <v>1432.24</v>
      </c>
      <c r="G44" s="138">
        <v>1503.54</v>
      </c>
      <c r="H44" s="138">
        <v>1503.54</v>
      </c>
      <c r="I44" s="138">
        <v>1565</v>
      </c>
      <c r="J44" s="138">
        <v>1626.46</v>
      </c>
      <c r="K44" s="138">
        <v>1626.46</v>
      </c>
      <c r="L44" s="138">
        <v>1628.94</v>
      </c>
      <c r="M44" s="138">
        <v>1656.94</v>
      </c>
      <c r="N44" s="138">
        <v>1656.94</v>
      </c>
      <c r="O44" s="138">
        <v>1614.39</v>
      </c>
      <c r="P44" s="138">
        <v>1605.74</v>
      </c>
      <c r="Q44" s="138">
        <v>1605.74</v>
      </c>
      <c r="R44" s="237">
        <v>19025.93</v>
      </c>
      <c r="S44" s="128"/>
      <c r="T44" s="138">
        <v>1628.55</v>
      </c>
      <c r="U44" s="138">
        <v>1607.28</v>
      </c>
      <c r="V44" s="138">
        <v>1618.3</v>
      </c>
      <c r="W44" s="138">
        <v>1676.28</v>
      </c>
      <c r="X44" s="138">
        <v>1535.56</v>
      </c>
      <c r="Y44" s="138">
        <v>1585.68</v>
      </c>
      <c r="Z44" s="245">
        <v>9651.65</v>
      </c>
      <c r="AA44" s="22"/>
      <c r="AB44" s="252">
        <f t="shared" si="8"/>
        <v>9257.24</v>
      </c>
      <c r="AC44" s="224">
        <f t="shared" si="9"/>
        <v>394.40999999999985</v>
      </c>
      <c r="AD44" s="8">
        <f t="shared" si="10"/>
        <v>4.2605571423015916E-2</v>
      </c>
    </row>
    <row r="45" spans="1:30" x14ac:dyDescent="0.4">
      <c r="A45" s="124"/>
      <c r="B45" s="178" t="s">
        <v>86</v>
      </c>
      <c r="C45" s="237">
        <v>374700.05</v>
      </c>
      <c r="D45" s="138">
        <v>31225.004166666666</v>
      </c>
      <c r="E45" s="194" t="s">
        <v>19</v>
      </c>
      <c r="F45" s="138">
        <v>31308.07</v>
      </c>
      <c r="G45" s="138">
        <v>31264.22</v>
      </c>
      <c r="H45" s="138">
        <v>32067.31</v>
      </c>
      <c r="I45" s="138">
        <v>32400.34</v>
      </c>
      <c r="J45" s="138">
        <v>30854.12</v>
      </c>
      <c r="K45" s="138">
        <v>29307.9</v>
      </c>
      <c r="L45" s="138">
        <v>33186.949999999997</v>
      </c>
      <c r="M45" s="138">
        <v>33318.5</v>
      </c>
      <c r="N45" s="138">
        <v>32540.89</v>
      </c>
      <c r="O45" s="138">
        <v>34097.47</v>
      </c>
      <c r="P45" s="138">
        <v>37549.94</v>
      </c>
      <c r="Q45" s="138">
        <v>34642.199999999997</v>
      </c>
      <c r="R45" s="237">
        <v>392537.91</v>
      </c>
      <c r="S45" s="128"/>
      <c r="T45" s="138">
        <v>33864.589999999997</v>
      </c>
      <c r="U45" s="138">
        <v>35126.589999999997</v>
      </c>
      <c r="V45" s="138">
        <v>40746.54</v>
      </c>
      <c r="W45" s="138">
        <v>37942.050000000003</v>
      </c>
      <c r="X45" s="138">
        <v>35576.07</v>
      </c>
      <c r="Y45" s="138">
        <v>38673.78</v>
      </c>
      <c r="Z45" s="245">
        <v>221929.62</v>
      </c>
      <c r="AA45" s="22"/>
      <c r="AB45" s="252">
        <f t="shared" si="8"/>
        <v>187201.96</v>
      </c>
      <c r="AC45" s="224">
        <f t="shared" si="9"/>
        <v>34727.660000000003</v>
      </c>
      <c r="AD45" s="8">
        <f t="shared" si="10"/>
        <v>0.18550906197776992</v>
      </c>
    </row>
    <row r="46" spans="1:30" x14ac:dyDescent="0.4">
      <c r="A46" s="124"/>
      <c r="B46" s="178" t="s">
        <v>88</v>
      </c>
      <c r="C46" s="238">
        <v>3500</v>
      </c>
      <c r="D46" s="139">
        <v>291.66666666666669</v>
      </c>
      <c r="E46" s="194" t="s">
        <v>19</v>
      </c>
      <c r="F46" s="139">
        <v>375</v>
      </c>
      <c r="G46" s="139">
        <v>375</v>
      </c>
      <c r="H46" s="139">
        <v>375</v>
      </c>
      <c r="I46" s="139">
        <v>375</v>
      </c>
      <c r="J46" s="139">
        <v>375</v>
      </c>
      <c r="K46" s="139">
        <v>125</v>
      </c>
      <c r="L46" s="140"/>
      <c r="M46" s="140"/>
      <c r="N46" s="139">
        <v>125</v>
      </c>
      <c r="O46" s="140"/>
      <c r="P46" s="139">
        <v>125</v>
      </c>
      <c r="Q46" s="139">
        <v>125</v>
      </c>
      <c r="R46" s="238">
        <v>2375</v>
      </c>
      <c r="S46" s="23"/>
      <c r="T46" s="139">
        <v>125</v>
      </c>
      <c r="U46" s="139">
        <v>125</v>
      </c>
      <c r="V46" s="139">
        <v>125</v>
      </c>
      <c r="W46" s="140"/>
      <c r="X46" s="140"/>
      <c r="Y46" s="139">
        <v>250</v>
      </c>
      <c r="Z46" s="246">
        <v>625</v>
      </c>
      <c r="AA46" s="22"/>
      <c r="AB46" s="253">
        <f t="shared" si="8"/>
        <v>2000</v>
      </c>
      <c r="AC46" s="11">
        <f t="shared" si="9"/>
        <v>-1375</v>
      </c>
      <c r="AD46" s="12">
        <f t="shared" si="10"/>
        <v>-0.6875</v>
      </c>
    </row>
    <row r="47" spans="1:30" x14ac:dyDescent="0.4">
      <c r="A47" s="124"/>
      <c r="B47" s="178" t="s">
        <v>89</v>
      </c>
      <c r="C47" s="238">
        <v>2235651.81</v>
      </c>
      <c r="D47" s="139">
        <v>186304.3175</v>
      </c>
      <c r="E47" s="194" t="s">
        <v>19</v>
      </c>
      <c r="F47" s="139">
        <v>188100.13</v>
      </c>
      <c r="G47" s="139">
        <v>181069.95</v>
      </c>
      <c r="H47" s="139">
        <v>185156.33</v>
      </c>
      <c r="I47" s="139">
        <v>195237.34</v>
      </c>
      <c r="J47" s="139">
        <v>196845.55</v>
      </c>
      <c r="K47" s="139">
        <v>185475.53</v>
      </c>
      <c r="L47" s="139">
        <v>187285.83</v>
      </c>
      <c r="M47" s="139">
        <v>193219.53</v>
      </c>
      <c r="N47" s="139">
        <v>188666.53</v>
      </c>
      <c r="O47" s="139">
        <v>185728.2</v>
      </c>
      <c r="P47" s="139">
        <v>193574.06</v>
      </c>
      <c r="Q47" s="139">
        <v>213938.19</v>
      </c>
      <c r="R47" s="238">
        <v>2294297.17</v>
      </c>
      <c r="S47" s="23"/>
      <c r="T47" s="139">
        <v>194722.97</v>
      </c>
      <c r="U47" s="139">
        <v>196275.64</v>
      </c>
      <c r="V47" s="139">
        <v>217284.1</v>
      </c>
      <c r="W47" s="139">
        <v>210101.97</v>
      </c>
      <c r="X47" s="139">
        <v>200106.4</v>
      </c>
      <c r="Y47" s="139">
        <v>198539.5</v>
      </c>
      <c r="Z47" s="246">
        <v>1217030.58</v>
      </c>
      <c r="AA47" s="22"/>
      <c r="AB47" s="238">
        <f>SUM(AB40:AB46)</f>
        <v>1131884.83</v>
      </c>
      <c r="AC47" s="11">
        <f>SUM(AC40:AC46)</f>
        <v>85145.749999999927</v>
      </c>
      <c r="AD47" s="12">
        <f>+AC47/AB47</f>
        <v>7.5224747026603339E-2</v>
      </c>
    </row>
    <row r="48" spans="1:30" x14ac:dyDescent="0.4">
      <c r="A48" s="124" t="s">
        <v>91</v>
      </c>
      <c r="B48" s="178"/>
      <c r="C48" s="237"/>
      <c r="D48" s="137"/>
      <c r="E48" s="194" t="s">
        <v>19</v>
      </c>
      <c r="F48" s="137"/>
      <c r="G48" s="137"/>
      <c r="H48" s="137"/>
      <c r="I48" s="137"/>
      <c r="J48" s="137"/>
      <c r="K48" s="137"/>
      <c r="L48" s="137"/>
      <c r="M48" s="137"/>
      <c r="N48" s="137"/>
      <c r="O48" s="137"/>
      <c r="P48" s="137"/>
      <c r="Q48" s="137"/>
      <c r="R48" s="237"/>
      <c r="S48" s="128"/>
      <c r="T48" s="137"/>
      <c r="U48" s="137"/>
      <c r="V48" s="137"/>
      <c r="W48" s="137"/>
      <c r="X48" s="137"/>
      <c r="Y48" s="137"/>
      <c r="Z48" s="245"/>
      <c r="AA48" s="22"/>
      <c r="AB48" s="237"/>
      <c r="AC48" s="4"/>
      <c r="AD48" s="5"/>
    </row>
    <row r="49" spans="1:30" x14ac:dyDescent="0.4">
      <c r="A49" s="124"/>
      <c r="B49" s="178" t="s">
        <v>57</v>
      </c>
      <c r="C49" s="237"/>
      <c r="D49" s="137"/>
      <c r="E49" s="194" t="s">
        <v>19</v>
      </c>
      <c r="F49" s="137"/>
      <c r="G49" s="137"/>
      <c r="H49" s="137"/>
      <c r="I49" s="137"/>
      <c r="J49" s="137"/>
      <c r="K49" s="137"/>
      <c r="L49" s="137"/>
      <c r="M49" s="137"/>
      <c r="N49" s="137"/>
      <c r="O49" s="137"/>
      <c r="P49" s="137"/>
      <c r="Q49" s="137"/>
      <c r="R49" s="237"/>
      <c r="S49" s="128"/>
      <c r="T49" s="137"/>
      <c r="U49" s="137"/>
      <c r="V49" s="137"/>
      <c r="W49" s="137"/>
      <c r="X49" s="137"/>
      <c r="Y49" s="137"/>
      <c r="Z49" s="245"/>
      <c r="AA49" s="22"/>
      <c r="AB49" s="237"/>
      <c r="AC49" s="4"/>
      <c r="AD49" s="5"/>
    </row>
    <row r="50" spans="1:30" x14ac:dyDescent="0.4">
      <c r="A50" s="124"/>
      <c r="B50" s="178" t="s">
        <v>90</v>
      </c>
      <c r="C50" s="237"/>
      <c r="D50" s="137"/>
      <c r="E50" s="194" t="s">
        <v>19</v>
      </c>
      <c r="F50" s="137"/>
      <c r="G50" s="137"/>
      <c r="H50" s="137"/>
      <c r="I50" s="137"/>
      <c r="J50" s="137"/>
      <c r="K50" s="137"/>
      <c r="L50" s="137"/>
      <c r="M50" s="137"/>
      <c r="N50" s="137"/>
      <c r="O50" s="137"/>
      <c r="P50" s="137"/>
      <c r="Q50" s="137"/>
      <c r="R50" s="237"/>
      <c r="S50" s="23"/>
      <c r="T50" s="137"/>
      <c r="U50" s="137"/>
      <c r="V50" s="137"/>
      <c r="W50" s="137"/>
      <c r="X50" s="137"/>
      <c r="Y50" s="137"/>
      <c r="Z50" s="245"/>
      <c r="AA50" s="23"/>
      <c r="AB50" s="237"/>
      <c r="AC50" s="4"/>
      <c r="AD50" s="5"/>
    </row>
    <row r="51" spans="1:30" x14ac:dyDescent="0.4">
      <c r="A51" s="124"/>
      <c r="B51" s="178" t="s">
        <v>92</v>
      </c>
      <c r="C51" s="238">
        <v>576</v>
      </c>
      <c r="D51" s="139">
        <v>48</v>
      </c>
      <c r="E51" s="194" t="s">
        <v>19</v>
      </c>
      <c r="F51" s="139">
        <v>74</v>
      </c>
      <c r="G51" s="140"/>
      <c r="H51" s="139">
        <v>74</v>
      </c>
      <c r="I51" s="139">
        <v>157</v>
      </c>
      <c r="J51" s="140"/>
      <c r="K51" s="139">
        <v>37</v>
      </c>
      <c r="L51" s="140"/>
      <c r="M51" s="140"/>
      <c r="N51" s="140"/>
      <c r="O51" s="140"/>
      <c r="P51" s="140"/>
      <c r="Q51" s="140"/>
      <c r="R51" s="238">
        <v>342</v>
      </c>
      <c r="S51" s="23"/>
      <c r="T51" s="140"/>
      <c r="U51" s="140"/>
      <c r="V51" s="140"/>
      <c r="W51" s="140"/>
      <c r="X51" s="140"/>
      <c r="Y51" s="140"/>
      <c r="Z51" s="246"/>
      <c r="AA51" s="23"/>
      <c r="AB51" s="238">
        <f>SUM(F51:K51)</f>
        <v>342</v>
      </c>
      <c r="AC51" s="4">
        <f>+Z51-AB51</f>
        <v>-342</v>
      </c>
      <c r="AD51" s="5">
        <f>+AC51/AB51</f>
        <v>-1</v>
      </c>
    </row>
    <row r="52" spans="1:30" x14ac:dyDescent="0.4">
      <c r="A52" s="124" t="s">
        <v>97</v>
      </c>
      <c r="B52" s="178" t="s">
        <v>95</v>
      </c>
      <c r="C52" s="238">
        <v>576</v>
      </c>
      <c r="D52" s="139">
        <v>48</v>
      </c>
      <c r="E52" s="194" t="s">
        <v>19</v>
      </c>
      <c r="F52" s="139">
        <v>74</v>
      </c>
      <c r="G52" s="139"/>
      <c r="H52" s="139">
        <v>74</v>
      </c>
      <c r="I52" s="139">
        <v>157</v>
      </c>
      <c r="J52" s="139"/>
      <c r="K52" s="139">
        <v>37</v>
      </c>
      <c r="L52" s="139"/>
      <c r="M52" s="139"/>
      <c r="N52" s="139"/>
      <c r="O52" s="139"/>
      <c r="P52" s="139"/>
      <c r="Q52" s="139"/>
      <c r="R52" s="238">
        <v>342</v>
      </c>
      <c r="S52" s="128"/>
      <c r="T52" s="139"/>
      <c r="U52" s="139"/>
      <c r="V52" s="139"/>
      <c r="W52" s="139"/>
      <c r="X52" s="139"/>
      <c r="Y52" s="139"/>
      <c r="Z52" s="246"/>
      <c r="AA52" s="126"/>
      <c r="AB52" s="238">
        <f>SUM(AB51)</f>
        <v>342</v>
      </c>
      <c r="AC52" s="9">
        <f t="shared" ref="AC52:AD52" si="11">SUM(AC51)</f>
        <v>-342</v>
      </c>
      <c r="AD52" s="10">
        <f t="shared" si="11"/>
        <v>-1</v>
      </c>
    </row>
    <row r="53" spans="1:30" x14ac:dyDescent="0.4">
      <c r="A53" s="124"/>
      <c r="B53" s="178"/>
      <c r="C53" s="237"/>
      <c r="D53" s="137"/>
      <c r="E53" s="194" t="s">
        <v>19</v>
      </c>
      <c r="F53" s="137"/>
      <c r="G53" s="137"/>
      <c r="H53" s="137"/>
      <c r="I53" s="137"/>
      <c r="J53" s="137"/>
      <c r="K53" s="137"/>
      <c r="L53" s="137"/>
      <c r="M53" s="137"/>
      <c r="N53" s="137"/>
      <c r="O53" s="137"/>
      <c r="P53" s="137"/>
      <c r="Q53" s="137"/>
      <c r="R53" s="237"/>
      <c r="S53" s="23"/>
      <c r="T53" s="137"/>
      <c r="U53" s="137"/>
      <c r="V53" s="137"/>
      <c r="W53" s="137"/>
      <c r="X53" s="137"/>
      <c r="Y53" s="137"/>
      <c r="Z53" s="245"/>
      <c r="AA53" s="126"/>
      <c r="AB53" s="237"/>
      <c r="AC53" s="4"/>
      <c r="AD53" s="5"/>
    </row>
    <row r="54" spans="1:30" x14ac:dyDescent="0.4">
      <c r="A54" s="124"/>
      <c r="B54" s="178" t="s">
        <v>96</v>
      </c>
      <c r="C54" s="237"/>
      <c r="D54" s="137"/>
      <c r="E54" s="194" t="s">
        <v>19</v>
      </c>
      <c r="F54" s="137"/>
      <c r="G54" s="137"/>
      <c r="H54" s="137"/>
      <c r="I54" s="137"/>
      <c r="J54" s="137"/>
      <c r="K54" s="137"/>
      <c r="L54" s="137"/>
      <c r="M54" s="137"/>
      <c r="N54" s="137"/>
      <c r="O54" s="137"/>
      <c r="P54" s="137"/>
      <c r="Q54" s="137"/>
      <c r="R54" s="237"/>
      <c r="S54" s="128"/>
      <c r="T54" s="137"/>
      <c r="U54" s="137"/>
      <c r="V54" s="137"/>
      <c r="W54" s="137"/>
      <c r="X54" s="137"/>
      <c r="Y54" s="137"/>
      <c r="Z54" s="245"/>
      <c r="AA54" s="126"/>
      <c r="AB54" s="237"/>
      <c r="AC54" s="4"/>
      <c r="AD54" s="5"/>
    </row>
    <row r="55" spans="1:30" x14ac:dyDescent="0.4">
      <c r="A55" s="124"/>
      <c r="B55" s="178" t="s">
        <v>98</v>
      </c>
      <c r="C55" s="238">
        <v>69373.98</v>
      </c>
      <c r="D55" s="139">
        <v>5781.165</v>
      </c>
      <c r="E55" s="194" t="s">
        <v>19</v>
      </c>
      <c r="F55" s="140"/>
      <c r="G55" s="140"/>
      <c r="H55" s="139">
        <v>420</v>
      </c>
      <c r="I55" s="139">
        <v>25</v>
      </c>
      <c r="J55" s="139">
        <v>210</v>
      </c>
      <c r="K55" s="140"/>
      <c r="L55" s="140"/>
      <c r="M55" s="139">
        <v>149.9</v>
      </c>
      <c r="N55" s="140"/>
      <c r="O55" s="140"/>
      <c r="P55" s="140"/>
      <c r="Q55" s="140"/>
      <c r="R55" s="238">
        <v>804.9</v>
      </c>
      <c r="S55" s="128"/>
      <c r="T55" s="140"/>
      <c r="U55" s="140"/>
      <c r="V55" s="140"/>
      <c r="W55" s="140"/>
      <c r="X55" s="140"/>
      <c r="Y55" s="140"/>
      <c r="Z55" s="246"/>
      <c r="AA55" s="23"/>
      <c r="AB55" s="238">
        <f>SUM(F55:K55)</f>
        <v>655</v>
      </c>
      <c r="AC55" s="11">
        <f>+Z55-AB55</f>
        <v>-655</v>
      </c>
      <c r="AD55" s="5">
        <f>+AC55/AB55</f>
        <v>-1</v>
      </c>
    </row>
    <row r="56" spans="1:30" x14ac:dyDescent="0.4">
      <c r="A56" s="124"/>
      <c r="B56" s="178" t="s">
        <v>101</v>
      </c>
      <c r="C56" s="238">
        <v>69373.98</v>
      </c>
      <c r="D56" s="139">
        <v>5781.165</v>
      </c>
      <c r="E56" s="194" t="s">
        <v>19</v>
      </c>
      <c r="F56" s="139"/>
      <c r="G56" s="139"/>
      <c r="H56" s="139">
        <v>420</v>
      </c>
      <c r="I56" s="139">
        <v>25</v>
      </c>
      <c r="J56" s="139">
        <v>210</v>
      </c>
      <c r="K56" s="139"/>
      <c r="L56" s="139"/>
      <c r="M56" s="139">
        <v>149.9</v>
      </c>
      <c r="N56" s="139"/>
      <c r="O56" s="139"/>
      <c r="P56" s="139"/>
      <c r="Q56" s="139"/>
      <c r="R56" s="238">
        <v>804.9</v>
      </c>
      <c r="S56" s="23"/>
      <c r="T56" s="139"/>
      <c r="U56" s="139"/>
      <c r="V56" s="139"/>
      <c r="W56" s="139"/>
      <c r="X56" s="139"/>
      <c r="Y56" s="139"/>
      <c r="Z56" s="246"/>
      <c r="AA56" s="23"/>
      <c r="AB56" s="238">
        <f>SUM(AB55)</f>
        <v>655</v>
      </c>
      <c r="AC56" s="139">
        <f>SUM(AC55)</f>
        <v>-655</v>
      </c>
      <c r="AD56" s="10">
        <f>+AC56/AB56</f>
        <v>-1</v>
      </c>
    </row>
    <row r="57" spans="1:30" x14ac:dyDescent="0.4">
      <c r="A57" s="124"/>
      <c r="B57" s="178"/>
      <c r="C57" s="237"/>
      <c r="D57" s="137"/>
      <c r="E57" s="194" t="s">
        <v>19</v>
      </c>
      <c r="F57" s="137"/>
      <c r="G57" s="137"/>
      <c r="H57" s="137"/>
      <c r="I57" s="137"/>
      <c r="J57" s="137"/>
      <c r="K57" s="137"/>
      <c r="L57" s="137"/>
      <c r="M57" s="137"/>
      <c r="N57" s="137"/>
      <c r="O57" s="137"/>
      <c r="P57" s="137"/>
      <c r="Q57" s="137"/>
      <c r="R57" s="237"/>
      <c r="S57" s="23"/>
      <c r="T57" s="137"/>
      <c r="U57" s="137"/>
      <c r="V57" s="137"/>
      <c r="W57" s="137"/>
      <c r="X57" s="137"/>
      <c r="Y57" s="137"/>
      <c r="Z57" s="245"/>
      <c r="AA57" s="126"/>
      <c r="AB57" s="237"/>
      <c r="AC57" s="4"/>
      <c r="AD57" s="5"/>
    </row>
    <row r="58" spans="1:30" x14ac:dyDescent="0.4">
      <c r="A58" s="124" t="s">
        <v>104</v>
      </c>
      <c r="B58" s="178" t="s">
        <v>102</v>
      </c>
      <c r="C58" s="238">
        <v>69949.98</v>
      </c>
      <c r="D58" s="139">
        <v>5829.165</v>
      </c>
      <c r="E58" s="194" t="s">
        <v>19</v>
      </c>
      <c r="F58" s="139">
        <v>74</v>
      </c>
      <c r="G58" s="139"/>
      <c r="H58" s="139">
        <v>494</v>
      </c>
      <c r="I58" s="139">
        <v>182</v>
      </c>
      <c r="J58" s="139">
        <v>210</v>
      </c>
      <c r="K58" s="139">
        <v>37</v>
      </c>
      <c r="L58" s="139"/>
      <c r="M58" s="139">
        <v>149.9</v>
      </c>
      <c r="N58" s="139"/>
      <c r="O58" s="139"/>
      <c r="P58" s="139"/>
      <c r="Q58" s="139"/>
      <c r="R58" s="238">
        <v>1146.9000000000001</v>
      </c>
      <c r="S58" s="23"/>
      <c r="T58" s="139"/>
      <c r="U58" s="139"/>
      <c r="V58" s="139"/>
      <c r="W58" s="139"/>
      <c r="X58" s="139"/>
      <c r="Y58" s="139"/>
      <c r="Z58" s="246"/>
      <c r="AA58" s="126"/>
      <c r="AB58" s="238">
        <f>SUM(F58:K58)</f>
        <v>997</v>
      </c>
      <c r="AC58" s="11">
        <f>+Z58-AB58</f>
        <v>-997</v>
      </c>
      <c r="AD58" s="12">
        <f>+AC58/AB58</f>
        <v>-1</v>
      </c>
    </row>
    <row r="59" spans="1:30" x14ac:dyDescent="0.4">
      <c r="A59" s="124" t="s">
        <v>108</v>
      </c>
      <c r="B59" s="178"/>
      <c r="C59" s="237"/>
      <c r="D59" s="137"/>
      <c r="E59" s="194" t="s">
        <v>19</v>
      </c>
      <c r="F59" s="137"/>
      <c r="G59" s="137"/>
      <c r="H59" s="137"/>
      <c r="I59" s="137"/>
      <c r="J59" s="137"/>
      <c r="K59" s="137"/>
      <c r="L59" s="137"/>
      <c r="M59" s="137"/>
      <c r="N59" s="137"/>
      <c r="O59" s="137"/>
      <c r="P59" s="137"/>
      <c r="Q59" s="137"/>
      <c r="R59" s="237"/>
      <c r="S59" s="23"/>
      <c r="T59" s="137"/>
      <c r="U59" s="137"/>
      <c r="V59" s="137"/>
      <c r="W59" s="137"/>
      <c r="X59" s="137"/>
      <c r="Y59" s="137"/>
      <c r="Z59" s="245"/>
      <c r="AA59" s="23"/>
      <c r="AB59" s="237"/>
      <c r="AC59" s="4"/>
      <c r="AD59" s="5"/>
    </row>
    <row r="60" spans="1:30" x14ac:dyDescent="0.4">
      <c r="A60" s="124" t="s">
        <v>110</v>
      </c>
      <c r="B60" s="178" t="s">
        <v>103</v>
      </c>
      <c r="C60" s="237"/>
      <c r="D60" s="137"/>
      <c r="E60" s="194" t="s">
        <v>19</v>
      </c>
      <c r="F60" s="137"/>
      <c r="G60" s="137"/>
      <c r="H60" s="137"/>
      <c r="I60" s="137"/>
      <c r="J60" s="137"/>
      <c r="K60" s="137"/>
      <c r="L60" s="137"/>
      <c r="M60" s="137"/>
      <c r="N60" s="137"/>
      <c r="O60" s="137"/>
      <c r="P60" s="137"/>
      <c r="Q60" s="137"/>
      <c r="R60" s="237"/>
      <c r="S60" s="23"/>
      <c r="T60" s="137"/>
      <c r="U60" s="137"/>
      <c r="V60" s="137"/>
      <c r="W60" s="137"/>
      <c r="X60" s="137"/>
      <c r="Y60" s="137"/>
      <c r="Z60" s="245"/>
      <c r="AA60" s="23"/>
      <c r="AB60" s="237"/>
      <c r="AC60" s="4"/>
      <c r="AD60" s="5"/>
    </row>
    <row r="61" spans="1:30" x14ac:dyDescent="0.4">
      <c r="A61" s="124" t="s">
        <v>112</v>
      </c>
      <c r="B61" s="178" t="s">
        <v>105</v>
      </c>
      <c r="C61" s="237">
        <v>50304.22</v>
      </c>
      <c r="D61" s="138">
        <v>4192.0183333333334</v>
      </c>
      <c r="E61" s="194" t="s">
        <v>19</v>
      </c>
      <c r="F61" s="138">
        <v>3738.4</v>
      </c>
      <c r="G61" s="138">
        <v>3946.96</v>
      </c>
      <c r="H61" s="138">
        <v>4446.41</v>
      </c>
      <c r="I61" s="138">
        <v>3365.53</v>
      </c>
      <c r="J61" s="138">
        <v>6.53</v>
      </c>
      <c r="K61" s="138">
        <v>1027.1500000000001</v>
      </c>
      <c r="L61" s="138">
        <v>3115.22</v>
      </c>
      <c r="M61" s="138">
        <v>750.21</v>
      </c>
      <c r="N61" s="138">
        <v>442.24</v>
      </c>
      <c r="O61" s="138">
        <v>362.52</v>
      </c>
      <c r="P61" s="138">
        <v>535.63</v>
      </c>
      <c r="Q61" s="138">
        <v>447.54</v>
      </c>
      <c r="R61" s="237">
        <v>22184.34</v>
      </c>
      <c r="S61" s="23"/>
      <c r="T61" s="138">
        <v>380.98</v>
      </c>
      <c r="U61" s="138">
        <v>395.74</v>
      </c>
      <c r="V61" s="138">
        <v>406.83</v>
      </c>
      <c r="W61" s="138">
        <v>397.34</v>
      </c>
      <c r="X61" s="138">
        <v>397.77</v>
      </c>
      <c r="Y61" s="138">
        <v>405.84</v>
      </c>
      <c r="Z61" s="245">
        <v>2384.5</v>
      </c>
      <c r="AA61" s="126"/>
      <c r="AB61" s="252">
        <f t="shared" ref="AB61:AB79" si="12">SUM(F61:K61)</f>
        <v>16530.980000000003</v>
      </c>
      <c r="AC61" s="224">
        <f>+Z61-AB61</f>
        <v>-14146.480000000003</v>
      </c>
      <c r="AD61" s="8">
        <f t="shared" ref="AD61" si="13">+AC61/AB61</f>
        <v>-0.85575567812676567</v>
      </c>
    </row>
    <row r="62" spans="1:30" x14ac:dyDescent="0.4">
      <c r="A62" s="124" t="s">
        <v>114</v>
      </c>
      <c r="B62" s="178" t="s">
        <v>109</v>
      </c>
      <c r="C62" s="237">
        <v>18736</v>
      </c>
      <c r="D62" s="138">
        <v>1561.3333333333333</v>
      </c>
      <c r="E62" s="194" t="s">
        <v>19</v>
      </c>
      <c r="F62" s="138">
        <v>1708.42</v>
      </c>
      <c r="G62" s="138">
        <v>2406.2800000000002</v>
      </c>
      <c r="H62" s="138">
        <v>1829.75</v>
      </c>
      <c r="I62" s="138">
        <v>2071.67</v>
      </c>
      <c r="J62" s="138">
        <v>2204.52</v>
      </c>
      <c r="K62" s="138">
        <v>2478.4299999999998</v>
      </c>
      <c r="L62" s="138">
        <v>1883.01</v>
      </c>
      <c r="M62" s="138">
        <v>2464.2600000000002</v>
      </c>
      <c r="N62" s="138">
        <v>2625.05</v>
      </c>
      <c r="O62" s="138">
        <v>1989.88</v>
      </c>
      <c r="P62" s="138">
        <v>2224.6999999999998</v>
      </c>
      <c r="Q62" s="138">
        <v>2544</v>
      </c>
      <c r="R62" s="237">
        <v>26429.97</v>
      </c>
      <c r="S62" s="23"/>
      <c r="T62" s="138">
        <v>2498.4699999999998</v>
      </c>
      <c r="U62" s="138">
        <v>2461.79</v>
      </c>
      <c r="V62" s="138">
        <v>2003.43</v>
      </c>
      <c r="W62" s="138">
        <v>2508.19</v>
      </c>
      <c r="X62" s="138">
        <v>750</v>
      </c>
      <c r="Y62" s="137"/>
      <c r="Z62" s="245">
        <v>10221.879999999999</v>
      </c>
      <c r="AA62" s="23"/>
      <c r="AB62" s="252">
        <f t="shared" si="12"/>
        <v>12699.070000000002</v>
      </c>
      <c r="AC62" s="224">
        <f t="shared" ref="AC62:AC79" si="14">+Z62-AB62</f>
        <v>-2477.1900000000023</v>
      </c>
      <c r="AD62" s="8">
        <f t="shared" ref="AD62:AD79" si="15">+AC62/AB62</f>
        <v>-0.19506861526080271</v>
      </c>
    </row>
    <row r="63" spans="1:30" x14ac:dyDescent="0.4">
      <c r="A63" s="124" t="s">
        <v>116</v>
      </c>
      <c r="B63" s="178" t="s">
        <v>111</v>
      </c>
      <c r="C63" s="237">
        <v>959.85</v>
      </c>
      <c r="D63" s="138">
        <v>79.987499999999997</v>
      </c>
      <c r="E63" s="194" t="s">
        <v>19</v>
      </c>
      <c r="F63" s="138">
        <v>47.3</v>
      </c>
      <c r="G63" s="138">
        <v>88.26</v>
      </c>
      <c r="H63" s="138">
        <v>109.15</v>
      </c>
      <c r="I63" s="138">
        <v>94.6</v>
      </c>
      <c r="J63" s="138">
        <v>123.64</v>
      </c>
      <c r="K63" s="138">
        <v>57.69</v>
      </c>
      <c r="L63" s="138">
        <v>259.88</v>
      </c>
      <c r="M63" s="138">
        <v>6</v>
      </c>
      <c r="N63" s="138">
        <v>22.75</v>
      </c>
      <c r="O63" s="138">
        <v>30.65</v>
      </c>
      <c r="P63" s="138">
        <v>202.18</v>
      </c>
      <c r="Q63" s="138">
        <v>21.6</v>
      </c>
      <c r="R63" s="237">
        <v>1063.7</v>
      </c>
      <c r="S63" s="23"/>
      <c r="T63" s="138">
        <v>50</v>
      </c>
      <c r="U63" s="137"/>
      <c r="V63" s="137"/>
      <c r="W63" s="138">
        <v>77.349999999999994</v>
      </c>
      <c r="X63" s="137"/>
      <c r="Y63" s="137"/>
      <c r="Z63" s="245">
        <v>127.35</v>
      </c>
      <c r="AA63" s="126"/>
      <c r="AB63" s="252">
        <f t="shared" si="12"/>
        <v>520.64</v>
      </c>
      <c r="AC63" s="224">
        <f t="shared" si="14"/>
        <v>-393.28999999999996</v>
      </c>
      <c r="AD63" s="8">
        <f t="shared" si="15"/>
        <v>-0.75539720344191763</v>
      </c>
    </row>
    <row r="64" spans="1:30" x14ac:dyDescent="0.4">
      <c r="A64" s="124" t="s">
        <v>118</v>
      </c>
      <c r="B64" s="178" t="s">
        <v>113</v>
      </c>
      <c r="C64" s="237">
        <v>834.43</v>
      </c>
      <c r="D64" s="138">
        <v>69.535833333333301</v>
      </c>
      <c r="E64" s="194" t="s">
        <v>19</v>
      </c>
      <c r="F64" s="138">
        <v>387.95</v>
      </c>
      <c r="G64" s="138">
        <v>9.9499999999999993</v>
      </c>
      <c r="H64" s="138">
        <v>9.9499999999999993</v>
      </c>
      <c r="I64" s="138">
        <v>9.9499999999999993</v>
      </c>
      <c r="J64" s="138">
        <v>9.9499999999999993</v>
      </c>
      <c r="K64" s="138">
        <v>9.9499999999999993</v>
      </c>
      <c r="L64" s="138">
        <v>9.9499999999999993</v>
      </c>
      <c r="M64" s="138">
        <v>9.9499999999999993</v>
      </c>
      <c r="N64" s="138">
        <v>59.94</v>
      </c>
      <c r="O64" s="138">
        <v>9.9499999999999993</v>
      </c>
      <c r="P64" s="138">
        <v>9.9499999999999993</v>
      </c>
      <c r="Q64" s="138">
        <v>9.9499999999999993</v>
      </c>
      <c r="R64" s="237">
        <v>547.39</v>
      </c>
      <c r="S64" s="23"/>
      <c r="T64" s="138">
        <v>9.83</v>
      </c>
      <c r="U64" s="138">
        <v>359.81</v>
      </c>
      <c r="V64" s="138">
        <v>19.66</v>
      </c>
      <c r="W64" s="138">
        <v>9.83</v>
      </c>
      <c r="X64" s="138">
        <v>9.83</v>
      </c>
      <c r="Y64" s="138">
        <v>19.66</v>
      </c>
      <c r="Z64" s="245">
        <v>428.62</v>
      </c>
      <c r="AA64" s="126"/>
      <c r="AB64" s="252">
        <f t="shared" si="12"/>
        <v>437.69999999999993</v>
      </c>
      <c r="AC64" s="224">
        <f t="shared" si="14"/>
        <v>-9.0799999999999272</v>
      </c>
      <c r="AD64" s="8">
        <f t="shared" si="15"/>
        <v>-2.0744802376056498E-2</v>
      </c>
    </row>
    <row r="65" spans="1:30" x14ac:dyDescent="0.4">
      <c r="A65" s="124" t="s">
        <v>126</v>
      </c>
      <c r="B65" s="178" t="s">
        <v>115</v>
      </c>
      <c r="C65" s="237">
        <v>4100</v>
      </c>
      <c r="D65" s="138">
        <v>341.66666666666669</v>
      </c>
      <c r="E65" s="194" t="s">
        <v>19</v>
      </c>
      <c r="F65" s="137"/>
      <c r="G65" s="137"/>
      <c r="H65" s="137"/>
      <c r="I65" s="137"/>
      <c r="J65" s="137"/>
      <c r="K65" s="137"/>
      <c r="L65" s="137"/>
      <c r="M65" s="137"/>
      <c r="N65" s="137"/>
      <c r="O65" s="137"/>
      <c r="P65" s="137"/>
      <c r="Q65" s="137"/>
      <c r="R65" s="237"/>
      <c r="S65" s="23"/>
      <c r="T65" s="137"/>
      <c r="U65" s="137"/>
      <c r="V65" s="137"/>
      <c r="W65" s="137"/>
      <c r="X65" s="137"/>
      <c r="Y65" s="137"/>
      <c r="Z65" s="245"/>
      <c r="AA65" s="22"/>
      <c r="AB65" s="252">
        <f t="shared" si="12"/>
        <v>0</v>
      </c>
      <c r="AC65" s="224">
        <f t="shared" si="14"/>
        <v>0</v>
      </c>
      <c r="AD65" s="8" t="e">
        <f t="shared" si="15"/>
        <v>#DIV/0!</v>
      </c>
    </row>
    <row r="66" spans="1:30" x14ac:dyDescent="0.4">
      <c r="A66" s="124" t="s">
        <v>128</v>
      </c>
      <c r="B66" s="178" t="s">
        <v>117</v>
      </c>
      <c r="C66" s="237">
        <v>250</v>
      </c>
      <c r="D66" s="138">
        <v>20.8333333333333</v>
      </c>
      <c r="E66" s="194" t="s">
        <v>19</v>
      </c>
      <c r="F66" s="137"/>
      <c r="G66" s="137"/>
      <c r="H66" s="137"/>
      <c r="I66" s="137"/>
      <c r="J66" s="138">
        <v>17000</v>
      </c>
      <c r="K66" s="138">
        <v>11476.5</v>
      </c>
      <c r="L66" s="137"/>
      <c r="M66" s="138">
        <v>19634.77</v>
      </c>
      <c r="N66" s="137"/>
      <c r="O66" s="138">
        <v>500</v>
      </c>
      <c r="P66" s="138">
        <v>250</v>
      </c>
      <c r="Q66" s="138">
        <v>156.25</v>
      </c>
      <c r="R66" s="237">
        <v>49017.52</v>
      </c>
      <c r="S66" s="23"/>
      <c r="T66" s="137"/>
      <c r="U66" s="137"/>
      <c r="V66" s="137"/>
      <c r="W66" s="138">
        <v>7500</v>
      </c>
      <c r="X66" s="138">
        <v>10000</v>
      </c>
      <c r="Y66" s="138">
        <v>24290.39</v>
      </c>
      <c r="Z66" s="245">
        <v>41790.39</v>
      </c>
      <c r="AA66" s="22"/>
      <c r="AB66" s="252">
        <f t="shared" si="12"/>
        <v>28476.5</v>
      </c>
      <c r="AC66" s="224">
        <f t="shared" si="14"/>
        <v>13313.89</v>
      </c>
      <c r="AD66" s="8">
        <f t="shared" si="15"/>
        <v>0.46753955015539128</v>
      </c>
    </row>
    <row r="67" spans="1:30" x14ac:dyDescent="0.4">
      <c r="A67" s="124" t="s">
        <v>130</v>
      </c>
      <c r="B67" s="178" t="s">
        <v>119</v>
      </c>
      <c r="C67" s="237">
        <v>1500</v>
      </c>
      <c r="D67" s="138">
        <v>125</v>
      </c>
      <c r="E67" s="194" t="s">
        <v>19</v>
      </c>
      <c r="F67" s="137"/>
      <c r="G67" s="137"/>
      <c r="H67" s="137"/>
      <c r="I67" s="137"/>
      <c r="J67" s="137"/>
      <c r="K67" s="137"/>
      <c r="L67" s="138">
        <v>2500</v>
      </c>
      <c r="M67" s="137"/>
      <c r="N67" s="137"/>
      <c r="O67" s="137"/>
      <c r="P67" s="137"/>
      <c r="Q67" s="137"/>
      <c r="R67" s="237">
        <v>2500</v>
      </c>
      <c r="S67" s="23"/>
      <c r="T67" s="137"/>
      <c r="U67" s="137"/>
      <c r="V67" s="137"/>
      <c r="W67" s="138">
        <v>350</v>
      </c>
      <c r="X67" s="137"/>
      <c r="Y67" s="137"/>
      <c r="Z67" s="245">
        <v>350</v>
      </c>
      <c r="AA67" s="22"/>
      <c r="AB67" s="252">
        <f t="shared" si="12"/>
        <v>0</v>
      </c>
      <c r="AC67" s="224">
        <f t="shared" si="14"/>
        <v>350</v>
      </c>
      <c r="AD67" s="8" t="e">
        <f t="shared" si="15"/>
        <v>#DIV/0!</v>
      </c>
    </row>
    <row r="68" spans="1:30" x14ac:dyDescent="0.4">
      <c r="A68" s="124" t="s">
        <v>132</v>
      </c>
      <c r="B68" s="178" t="s">
        <v>127</v>
      </c>
      <c r="C68" s="237">
        <v>11500.51</v>
      </c>
      <c r="D68" s="138">
        <v>958.37583333333328</v>
      </c>
      <c r="E68" s="194" t="s">
        <v>19</v>
      </c>
      <c r="F68" s="138">
        <v>1071.96</v>
      </c>
      <c r="G68" s="138">
        <v>1071.96</v>
      </c>
      <c r="H68" s="138">
        <v>1071.96</v>
      </c>
      <c r="I68" s="138">
        <v>919.86</v>
      </c>
      <c r="J68" s="137"/>
      <c r="K68" s="138">
        <v>1947.3</v>
      </c>
      <c r="L68" s="138">
        <v>1281.22</v>
      </c>
      <c r="M68" s="138">
        <v>1345.28</v>
      </c>
      <c r="N68" s="138">
        <v>1345.28</v>
      </c>
      <c r="O68" s="138">
        <v>1345.28</v>
      </c>
      <c r="P68" s="137"/>
      <c r="Q68" s="138">
        <v>1089.04</v>
      </c>
      <c r="R68" s="237">
        <v>12489.14</v>
      </c>
      <c r="S68" s="23"/>
      <c r="T68" s="137"/>
      <c r="U68" s="138">
        <v>1281.22</v>
      </c>
      <c r="V68" s="137"/>
      <c r="W68" s="138">
        <v>16063.41</v>
      </c>
      <c r="X68" s="137"/>
      <c r="Y68" s="137"/>
      <c r="Z68" s="245">
        <v>17344.63</v>
      </c>
      <c r="AA68" s="22"/>
      <c r="AB68" s="252">
        <f t="shared" si="12"/>
        <v>6083.04</v>
      </c>
      <c r="AC68" s="224">
        <f t="shared" si="14"/>
        <v>11261.59</v>
      </c>
      <c r="AD68" s="8">
        <f t="shared" si="15"/>
        <v>1.8513095425971224</v>
      </c>
    </row>
    <row r="69" spans="1:30" x14ac:dyDescent="0.4">
      <c r="A69" s="124" t="s">
        <v>134</v>
      </c>
      <c r="B69" s="178" t="s">
        <v>129</v>
      </c>
      <c r="C69" s="237">
        <v>17399.740000000002</v>
      </c>
      <c r="D69" s="138">
        <v>1449.9783333333332</v>
      </c>
      <c r="E69" s="194" t="s">
        <v>19</v>
      </c>
      <c r="F69" s="138">
        <v>536.61</v>
      </c>
      <c r="G69" s="138">
        <v>547.36</v>
      </c>
      <c r="H69" s="138">
        <v>568.4</v>
      </c>
      <c r="I69" s="138">
        <v>783.22</v>
      </c>
      <c r="J69" s="138">
        <v>752.61</v>
      </c>
      <c r="K69" s="138">
        <v>688.07</v>
      </c>
      <c r="L69" s="138">
        <v>510.21</v>
      </c>
      <c r="M69" s="138">
        <v>823.71</v>
      </c>
      <c r="N69" s="138">
        <v>522.16</v>
      </c>
      <c r="O69" s="138">
        <v>432.94</v>
      </c>
      <c r="P69" s="138">
        <v>554.91</v>
      </c>
      <c r="Q69" s="138">
        <v>466.46</v>
      </c>
      <c r="R69" s="237">
        <v>7186.66</v>
      </c>
      <c r="S69" s="23"/>
      <c r="T69" s="138">
        <v>503.15</v>
      </c>
      <c r="U69" s="138">
        <v>365.04</v>
      </c>
      <c r="V69" s="138">
        <v>598.19000000000005</v>
      </c>
      <c r="W69" s="138">
        <v>674.76</v>
      </c>
      <c r="X69" s="138">
        <v>549.88</v>
      </c>
      <c r="Y69" s="138">
        <v>522.45000000000005</v>
      </c>
      <c r="Z69" s="245">
        <v>3213.47</v>
      </c>
      <c r="AA69" s="126"/>
      <c r="AB69" s="252">
        <f t="shared" si="12"/>
        <v>3876.2700000000004</v>
      </c>
      <c r="AC69" s="224">
        <f t="shared" si="14"/>
        <v>-662.80000000000064</v>
      </c>
      <c r="AD69" s="8">
        <f t="shared" si="15"/>
        <v>-0.17098912098486446</v>
      </c>
    </row>
    <row r="70" spans="1:30" x14ac:dyDescent="0.4">
      <c r="A70" s="124" t="s">
        <v>136</v>
      </c>
      <c r="B70" s="178" t="s">
        <v>131</v>
      </c>
      <c r="C70" s="237">
        <v>20982.84</v>
      </c>
      <c r="D70" s="138">
        <v>1748.57</v>
      </c>
      <c r="E70" s="194" t="s">
        <v>19</v>
      </c>
      <c r="F70" s="138">
        <v>1005</v>
      </c>
      <c r="G70" s="138">
        <v>1191.76</v>
      </c>
      <c r="H70" s="138">
        <v>2229.0500000000002</v>
      </c>
      <c r="I70" s="138">
        <v>1920</v>
      </c>
      <c r="J70" s="138">
        <v>4095.72</v>
      </c>
      <c r="K70" s="138">
        <v>1242.28</v>
      </c>
      <c r="L70" s="138">
        <v>1500</v>
      </c>
      <c r="M70" s="138">
        <v>2160</v>
      </c>
      <c r="N70" s="138">
        <v>60</v>
      </c>
      <c r="O70" s="138">
        <v>960</v>
      </c>
      <c r="P70" s="138">
        <v>2075</v>
      </c>
      <c r="Q70" s="138">
        <v>73.95</v>
      </c>
      <c r="R70" s="237">
        <v>18512.759999999998</v>
      </c>
      <c r="S70" s="23"/>
      <c r="T70" s="138">
        <v>375</v>
      </c>
      <c r="U70" s="138">
        <v>3450</v>
      </c>
      <c r="V70" s="138">
        <v>87</v>
      </c>
      <c r="W70" s="138">
        <v>936</v>
      </c>
      <c r="X70" s="137"/>
      <c r="Y70" s="138">
        <v>600</v>
      </c>
      <c r="Z70" s="245">
        <v>5448</v>
      </c>
      <c r="AA70" s="22"/>
      <c r="AB70" s="252">
        <f t="shared" si="12"/>
        <v>11683.810000000001</v>
      </c>
      <c r="AC70" s="224">
        <f t="shared" si="14"/>
        <v>-6235.8100000000013</v>
      </c>
      <c r="AD70" s="8">
        <f t="shared" si="15"/>
        <v>-0.53371374577299702</v>
      </c>
    </row>
    <row r="71" spans="1:30" x14ac:dyDescent="0.4">
      <c r="A71" s="124" t="s">
        <v>138</v>
      </c>
      <c r="B71" s="178" t="s">
        <v>133</v>
      </c>
      <c r="C71" s="237">
        <v>10242.89</v>
      </c>
      <c r="D71" s="138">
        <v>853.57416666666666</v>
      </c>
      <c r="E71" s="194" t="s">
        <v>19</v>
      </c>
      <c r="F71" s="138">
        <v>1670.7</v>
      </c>
      <c r="G71" s="138">
        <v>535</v>
      </c>
      <c r="H71" s="138">
        <v>528.25</v>
      </c>
      <c r="I71" s="138">
        <v>256</v>
      </c>
      <c r="J71" s="138">
        <v>594.28</v>
      </c>
      <c r="K71" s="138">
        <v>531.73</v>
      </c>
      <c r="L71" s="138">
        <v>256</v>
      </c>
      <c r="M71" s="138">
        <v>256</v>
      </c>
      <c r="N71" s="138">
        <v>256</v>
      </c>
      <c r="O71" s="138">
        <v>256.3</v>
      </c>
      <c r="P71" s="138">
        <v>155.82</v>
      </c>
      <c r="Q71" s="138">
        <v>159</v>
      </c>
      <c r="R71" s="237">
        <v>5455.08</v>
      </c>
      <c r="S71" s="23"/>
      <c r="T71" s="138">
        <v>128</v>
      </c>
      <c r="U71" s="138">
        <v>418.87</v>
      </c>
      <c r="V71" s="138">
        <v>128</v>
      </c>
      <c r="W71" s="138">
        <v>128</v>
      </c>
      <c r="X71" s="138">
        <v>156.25</v>
      </c>
      <c r="Y71" s="138">
        <v>128</v>
      </c>
      <c r="Z71" s="245">
        <v>1087.1199999999999</v>
      </c>
      <c r="AA71" s="22"/>
      <c r="AB71" s="252">
        <f t="shared" si="12"/>
        <v>4115.9599999999991</v>
      </c>
      <c r="AC71" s="224">
        <f t="shared" si="14"/>
        <v>-3028.8399999999992</v>
      </c>
      <c r="AD71" s="8">
        <f t="shared" si="15"/>
        <v>-0.73587692786130088</v>
      </c>
    </row>
    <row r="72" spans="1:30" x14ac:dyDescent="0.4">
      <c r="A72" s="124" t="s">
        <v>142</v>
      </c>
      <c r="B72" s="178" t="s">
        <v>135</v>
      </c>
      <c r="C72" s="237">
        <v>9220.48</v>
      </c>
      <c r="D72" s="138">
        <v>768.37333333333333</v>
      </c>
      <c r="E72" s="194" t="s">
        <v>19</v>
      </c>
      <c r="F72" s="138">
        <v>695.84</v>
      </c>
      <c r="G72" s="138">
        <v>371.47</v>
      </c>
      <c r="H72" s="138">
        <v>810.92</v>
      </c>
      <c r="I72" s="138">
        <v>567.66</v>
      </c>
      <c r="J72" s="138">
        <v>350.91</v>
      </c>
      <c r="K72" s="138">
        <v>2040.45</v>
      </c>
      <c r="L72" s="138">
        <v>768.17</v>
      </c>
      <c r="M72" s="138">
        <v>1165.3</v>
      </c>
      <c r="N72" s="138">
        <v>340.64</v>
      </c>
      <c r="O72" s="138">
        <v>565.01</v>
      </c>
      <c r="P72" s="138">
        <v>189.75</v>
      </c>
      <c r="Q72" s="138">
        <v>2291.7199999999998</v>
      </c>
      <c r="R72" s="237">
        <v>10157.84</v>
      </c>
      <c r="S72" s="23"/>
      <c r="T72" s="138">
        <v>987.03</v>
      </c>
      <c r="U72" s="138">
        <v>1010.77</v>
      </c>
      <c r="V72" s="138">
        <v>960.77</v>
      </c>
      <c r="W72" s="138">
        <v>233.57</v>
      </c>
      <c r="X72" s="138">
        <v>134.57</v>
      </c>
      <c r="Y72" s="138">
        <v>946.65</v>
      </c>
      <c r="Z72" s="245">
        <v>4273.3599999999997</v>
      </c>
      <c r="AA72" s="22"/>
      <c r="AB72" s="252">
        <f t="shared" si="12"/>
        <v>4837.25</v>
      </c>
      <c r="AC72" s="224">
        <f t="shared" si="14"/>
        <v>-563.89000000000033</v>
      </c>
      <c r="AD72" s="8">
        <f t="shared" si="15"/>
        <v>-0.11657243268385969</v>
      </c>
    </row>
    <row r="73" spans="1:30" x14ac:dyDescent="0.4">
      <c r="A73" s="124" t="s">
        <v>146</v>
      </c>
      <c r="B73" s="178" t="s">
        <v>137</v>
      </c>
      <c r="C73" s="237">
        <v>29704.28</v>
      </c>
      <c r="D73" s="138">
        <v>2475.3566666666666</v>
      </c>
      <c r="E73" s="194" t="s">
        <v>19</v>
      </c>
      <c r="F73" s="138">
        <v>76.489999999999995</v>
      </c>
      <c r="G73" s="138">
        <v>20.63</v>
      </c>
      <c r="H73" s="138">
        <v>9.99</v>
      </c>
      <c r="I73" s="138">
        <v>231.92</v>
      </c>
      <c r="J73" s="138">
        <v>1664.42</v>
      </c>
      <c r="K73" s="138">
        <v>1618.55</v>
      </c>
      <c r="L73" s="138">
        <v>1363.25</v>
      </c>
      <c r="M73" s="138">
        <v>1038.6300000000001</v>
      </c>
      <c r="N73" s="138">
        <v>747</v>
      </c>
      <c r="O73" s="138">
        <v>922.14</v>
      </c>
      <c r="P73" s="138">
        <v>747</v>
      </c>
      <c r="Q73" s="138">
        <v>747</v>
      </c>
      <c r="R73" s="237">
        <v>9187.02</v>
      </c>
      <c r="S73" s="23"/>
      <c r="T73" s="138">
        <v>766.65</v>
      </c>
      <c r="U73" s="138">
        <v>869.52</v>
      </c>
      <c r="V73" s="138">
        <v>763.38</v>
      </c>
      <c r="W73" s="138">
        <v>899.68</v>
      </c>
      <c r="X73" s="138">
        <v>953.32</v>
      </c>
      <c r="Y73" s="138">
        <v>1742</v>
      </c>
      <c r="Z73" s="245">
        <v>5994.55</v>
      </c>
      <c r="AA73" s="22"/>
      <c r="AB73" s="252">
        <f t="shared" si="12"/>
        <v>3622</v>
      </c>
      <c r="AC73" s="224">
        <f t="shared" si="14"/>
        <v>2372.5500000000002</v>
      </c>
      <c r="AD73" s="8">
        <f t="shared" si="15"/>
        <v>0.65503865267807848</v>
      </c>
    </row>
    <row r="74" spans="1:30" x14ac:dyDescent="0.4">
      <c r="A74" s="124" t="s">
        <v>148</v>
      </c>
      <c r="B74" s="178" t="s">
        <v>139</v>
      </c>
      <c r="C74" s="237">
        <v>354.85</v>
      </c>
      <c r="D74" s="138">
        <v>29.570833333333301</v>
      </c>
      <c r="E74" s="194" t="s">
        <v>19</v>
      </c>
      <c r="F74" s="137"/>
      <c r="G74" s="137"/>
      <c r="H74" s="137"/>
      <c r="I74" s="137"/>
      <c r="J74" s="138">
        <v>7.37</v>
      </c>
      <c r="K74" s="138">
        <v>0.28999999999999998</v>
      </c>
      <c r="L74" s="137"/>
      <c r="M74" s="138"/>
      <c r="N74" s="137"/>
      <c r="O74" s="137"/>
      <c r="P74" s="137"/>
      <c r="Q74" s="137"/>
      <c r="R74" s="237">
        <v>7.66</v>
      </c>
      <c r="S74" s="23"/>
      <c r="T74" s="137"/>
      <c r="U74" s="137"/>
      <c r="V74" s="137"/>
      <c r="W74" s="137"/>
      <c r="X74" s="137"/>
      <c r="Y74" s="137"/>
      <c r="Z74" s="245"/>
      <c r="AA74" s="22"/>
      <c r="AB74" s="252">
        <f t="shared" si="12"/>
        <v>7.66</v>
      </c>
      <c r="AC74" s="224">
        <f t="shared" si="14"/>
        <v>-7.66</v>
      </c>
      <c r="AD74" s="8">
        <f t="shared" si="15"/>
        <v>-1</v>
      </c>
    </row>
    <row r="75" spans="1:30" x14ac:dyDescent="0.4">
      <c r="A75" s="124" t="s">
        <v>150</v>
      </c>
      <c r="B75" s="178" t="s">
        <v>143</v>
      </c>
      <c r="C75" s="237">
        <v>11664.23</v>
      </c>
      <c r="D75" s="138">
        <v>972.01916666666671</v>
      </c>
      <c r="E75" s="194" t="s">
        <v>19</v>
      </c>
      <c r="F75" s="138">
        <v>1093.33</v>
      </c>
      <c r="G75" s="138">
        <v>993.62</v>
      </c>
      <c r="H75" s="138">
        <v>993.62</v>
      </c>
      <c r="I75" s="138">
        <v>993.62</v>
      </c>
      <c r="J75" s="138">
        <v>993.62</v>
      </c>
      <c r="K75" s="138">
        <v>993.62</v>
      </c>
      <c r="L75" s="138">
        <v>993.62</v>
      </c>
      <c r="M75" s="138">
        <v>993.62</v>
      </c>
      <c r="N75" s="138">
        <v>993.62</v>
      </c>
      <c r="O75" s="138">
        <v>1042.1500000000001</v>
      </c>
      <c r="P75" s="138">
        <v>1042.1500000000001</v>
      </c>
      <c r="Q75" s="138">
        <v>1135.6099999999999</v>
      </c>
      <c r="R75" s="237">
        <v>12262.2</v>
      </c>
      <c r="S75" s="23"/>
      <c r="T75" s="138">
        <v>1042.1500000000001</v>
      </c>
      <c r="U75" s="138">
        <v>1042.1500000000001</v>
      </c>
      <c r="V75" s="138">
        <v>1042.1500000000001</v>
      </c>
      <c r="W75" s="138">
        <v>1042.1500000000001</v>
      </c>
      <c r="X75" s="138">
        <v>1082.0999999999999</v>
      </c>
      <c r="Y75" s="138">
        <v>1042.1500000000001</v>
      </c>
      <c r="Z75" s="245">
        <v>6292.85</v>
      </c>
      <c r="AA75" s="22"/>
      <c r="AB75" s="252">
        <f t="shared" si="12"/>
        <v>6061.4299999999994</v>
      </c>
      <c r="AC75" s="224">
        <f t="shared" si="14"/>
        <v>231.42000000000098</v>
      </c>
      <c r="AD75" s="8">
        <f t="shared" si="15"/>
        <v>3.8179109550056836E-2</v>
      </c>
    </row>
    <row r="76" spans="1:30" x14ac:dyDescent="0.4">
      <c r="A76" s="124" t="s">
        <v>152</v>
      </c>
      <c r="B76" s="178" t="s">
        <v>147</v>
      </c>
      <c r="C76" s="237">
        <v>31752.27</v>
      </c>
      <c r="D76" s="138">
        <v>2646.0225</v>
      </c>
      <c r="E76" s="194" t="s">
        <v>19</v>
      </c>
      <c r="F76" s="138">
        <v>3119.26</v>
      </c>
      <c r="G76" s="138">
        <v>171.66</v>
      </c>
      <c r="H76" s="138">
        <v>4289.3</v>
      </c>
      <c r="I76" s="138">
        <v>1887.09</v>
      </c>
      <c r="J76" s="138">
        <v>710.19</v>
      </c>
      <c r="K76" s="138">
        <v>1975.97</v>
      </c>
      <c r="L76" s="138">
        <v>3531.3</v>
      </c>
      <c r="M76" s="138">
        <v>2371.0300000000002</v>
      </c>
      <c r="N76" s="138">
        <v>2640.49</v>
      </c>
      <c r="O76" s="138">
        <v>2266.81</v>
      </c>
      <c r="P76" s="138">
        <v>2848.11</v>
      </c>
      <c r="Q76" s="138">
        <v>1820.2</v>
      </c>
      <c r="R76" s="237">
        <v>27631.41</v>
      </c>
      <c r="S76" s="128"/>
      <c r="T76" s="138">
        <v>2097.63</v>
      </c>
      <c r="U76" s="138">
        <v>1414.38</v>
      </c>
      <c r="V76" s="138">
        <v>483.55</v>
      </c>
      <c r="W76" s="138">
        <v>2589.04</v>
      </c>
      <c r="X76" s="138">
        <v>467.42</v>
      </c>
      <c r="Y76" s="138">
        <v>1388.42</v>
      </c>
      <c r="Z76" s="245">
        <v>8440.44</v>
      </c>
      <c r="AA76" s="22"/>
      <c r="AB76" s="252">
        <f t="shared" si="12"/>
        <v>12153.47</v>
      </c>
      <c r="AC76" s="224">
        <f t="shared" si="14"/>
        <v>-3713.0299999999988</v>
      </c>
      <c r="AD76" s="8">
        <f t="shared" si="15"/>
        <v>-0.30551192375510855</v>
      </c>
    </row>
    <row r="77" spans="1:30" x14ac:dyDescent="0.4">
      <c r="A77" s="124"/>
      <c r="B77" s="178" t="s">
        <v>149</v>
      </c>
      <c r="C77" s="237">
        <v>38314.92</v>
      </c>
      <c r="D77" s="138">
        <v>3192.91</v>
      </c>
      <c r="E77" s="194" t="s">
        <v>19</v>
      </c>
      <c r="F77" s="138">
        <v>2014.66</v>
      </c>
      <c r="G77" s="138">
        <v>2531.46</v>
      </c>
      <c r="H77" s="138">
        <v>1835.71</v>
      </c>
      <c r="I77" s="138">
        <v>4812.03</v>
      </c>
      <c r="J77" s="138">
        <v>1854.73</v>
      </c>
      <c r="K77" s="138">
        <v>3362.65</v>
      </c>
      <c r="L77" s="138">
        <v>4452</v>
      </c>
      <c r="M77" s="138">
        <v>2621.81</v>
      </c>
      <c r="N77" s="138">
        <v>2596.17</v>
      </c>
      <c r="O77" s="138">
        <v>6928.07</v>
      </c>
      <c r="P77" s="138">
        <v>2766.6</v>
      </c>
      <c r="Q77" s="138">
        <v>478.71</v>
      </c>
      <c r="R77" s="237">
        <v>36254.6</v>
      </c>
      <c r="S77" s="128"/>
      <c r="T77" s="138">
        <v>2277.65</v>
      </c>
      <c r="U77" s="138">
        <v>2203.92</v>
      </c>
      <c r="V77" s="138">
        <v>6469.41</v>
      </c>
      <c r="W77" s="138">
        <v>256.47000000000003</v>
      </c>
      <c r="X77" s="138">
        <v>1986.87</v>
      </c>
      <c r="Y77" s="138">
        <v>1596.08</v>
      </c>
      <c r="Z77" s="245">
        <v>14790.4</v>
      </c>
      <c r="AA77" s="22"/>
      <c r="AB77" s="252">
        <f t="shared" si="12"/>
        <v>16411.240000000002</v>
      </c>
      <c r="AC77" s="224">
        <f t="shared" si="14"/>
        <v>-1620.840000000002</v>
      </c>
      <c r="AD77" s="8">
        <f t="shared" si="15"/>
        <v>-9.8764017831681331E-2</v>
      </c>
    </row>
    <row r="78" spans="1:30" x14ac:dyDescent="0.4">
      <c r="A78" s="124"/>
      <c r="B78" s="178" t="s">
        <v>151</v>
      </c>
      <c r="C78" s="237">
        <v>95</v>
      </c>
      <c r="D78" s="138">
        <v>7.9166666666666998</v>
      </c>
      <c r="E78" s="194" t="s">
        <v>19</v>
      </c>
      <c r="F78" s="137"/>
      <c r="G78" s="137"/>
      <c r="H78" s="137"/>
      <c r="I78" s="137"/>
      <c r="J78" s="137"/>
      <c r="K78" s="137"/>
      <c r="L78" s="137"/>
      <c r="M78" s="137"/>
      <c r="N78" s="137"/>
      <c r="O78" s="137"/>
      <c r="P78" s="137"/>
      <c r="Q78" s="137"/>
      <c r="R78" s="237"/>
      <c r="S78" s="23"/>
      <c r="T78" s="138">
        <v>810</v>
      </c>
      <c r="U78" s="137"/>
      <c r="V78" s="137"/>
      <c r="W78" s="137"/>
      <c r="X78" s="137"/>
      <c r="Y78" s="137"/>
      <c r="Z78" s="245">
        <v>810</v>
      </c>
      <c r="AA78" s="22"/>
      <c r="AB78" s="252">
        <f t="shared" si="12"/>
        <v>0</v>
      </c>
      <c r="AC78" s="224">
        <f t="shared" si="14"/>
        <v>810</v>
      </c>
      <c r="AD78" s="8" t="e">
        <f t="shared" si="15"/>
        <v>#DIV/0!</v>
      </c>
    </row>
    <row r="79" spans="1:30" x14ac:dyDescent="0.4">
      <c r="A79" s="124"/>
      <c r="B79" s="178" t="s">
        <v>153</v>
      </c>
      <c r="C79" s="238">
        <v>4961.9399999999996</v>
      </c>
      <c r="D79" s="139">
        <v>413.495</v>
      </c>
      <c r="E79" s="194" t="s">
        <v>19</v>
      </c>
      <c r="F79" s="139">
        <v>468.77</v>
      </c>
      <c r="G79" s="139">
        <v>1019.95</v>
      </c>
      <c r="H79" s="139">
        <v>151.13</v>
      </c>
      <c r="I79" s="139">
        <v>133.07</v>
      </c>
      <c r="J79" s="139">
        <v>324.35000000000002</v>
      </c>
      <c r="K79" s="139">
        <v>389.78</v>
      </c>
      <c r="L79" s="140"/>
      <c r="M79" s="140"/>
      <c r="N79" s="140"/>
      <c r="O79" s="139">
        <v>41.9</v>
      </c>
      <c r="P79" s="139">
        <v>17.100000000000001</v>
      </c>
      <c r="Q79" s="140"/>
      <c r="R79" s="238">
        <v>2546.0500000000002</v>
      </c>
      <c r="S79" s="23"/>
      <c r="T79" s="139">
        <v>194.94</v>
      </c>
      <c r="U79" s="139">
        <v>85.11</v>
      </c>
      <c r="V79" s="139">
        <v>250</v>
      </c>
      <c r="W79" s="139">
        <v>164.62</v>
      </c>
      <c r="X79" s="140"/>
      <c r="Y79" s="140"/>
      <c r="Z79" s="246">
        <v>694.67</v>
      </c>
      <c r="AA79" s="22"/>
      <c r="AB79" s="253">
        <f t="shared" si="12"/>
        <v>2487.0500000000002</v>
      </c>
      <c r="AC79" s="11">
        <f t="shared" si="14"/>
        <v>-1792.38</v>
      </c>
      <c r="AD79" s="12">
        <f t="shared" si="15"/>
        <v>-0.72068514907219394</v>
      </c>
    </row>
    <row r="80" spans="1:30" x14ac:dyDescent="0.4">
      <c r="A80" s="124" t="s">
        <v>155</v>
      </c>
      <c r="B80" s="178" t="s">
        <v>154</v>
      </c>
      <c r="C80" s="238">
        <v>262878.45</v>
      </c>
      <c r="D80" s="139">
        <v>21906.537499999999</v>
      </c>
      <c r="E80" s="194" t="s">
        <v>19</v>
      </c>
      <c r="F80" s="139">
        <v>17634.689999999999</v>
      </c>
      <c r="G80" s="139">
        <v>14906.32</v>
      </c>
      <c r="H80" s="139">
        <v>18883.59</v>
      </c>
      <c r="I80" s="139">
        <v>18046.22</v>
      </c>
      <c r="J80" s="139">
        <v>30692.84</v>
      </c>
      <c r="K80" s="139">
        <v>29840.41</v>
      </c>
      <c r="L80" s="139">
        <v>22423.83</v>
      </c>
      <c r="M80" s="139">
        <v>35640.57</v>
      </c>
      <c r="N80" s="139">
        <v>12651.34</v>
      </c>
      <c r="O80" s="139">
        <v>17653.599999999999</v>
      </c>
      <c r="P80" s="139">
        <v>13618.9</v>
      </c>
      <c r="Q80" s="139">
        <v>11441.03</v>
      </c>
      <c r="R80" s="238">
        <v>243433.34</v>
      </c>
      <c r="S80" s="23"/>
      <c r="T80" s="139">
        <v>12121.48</v>
      </c>
      <c r="U80" s="139">
        <v>15358.32</v>
      </c>
      <c r="V80" s="139">
        <v>13212.37</v>
      </c>
      <c r="W80" s="139">
        <v>33830.410000000003</v>
      </c>
      <c r="X80" s="139">
        <v>16488.009999999998</v>
      </c>
      <c r="Y80" s="139">
        <v>32681.64</v>
      </c>
      <c r="Z80" s="246">
        <v>123692.23</v>
      </c>
      <c r="AA80" s="22"/>
      <c r="AB80" s="238">
        <f>SUM(AB61:AB79)</f>
        <v>130004.07</v>
      </c>
      <c r="AC80" s="139">
        <f>SUM(AC61:AC79)</f>
        <v>-6311.8400000000101</v>
      </c>
      <c r="AD80" s="12">
        <f t="shared" ref="AD80:AD123" si="16">+AC80/AB80</f>
        <v>-4.8551095361860669E-2</v>
      </c>
    </row>
    <row r="81" spans="1:30" x14ac:dyDescent="0.4">
      <c r="A81" s="124" t="s">
        <v>157</v>
      </c>
      <c r="B81" s="178"/>
      <c r="C81" s="237"/>
      <c r="D81" s="137"/>
      <c r="E81" s="194" t="s">
        <v>19</v>
      </c>
      <c r="F81" s="137"/>
      <c r="G81" s="137"/>
      <c r="H81" s="137"/>
      <c r="I81" s="137"/>
      <c r="J81" s="137"/>
      <c r="K81" s="137"/>
      <c r="L81" s="137"/>
      <c r="M81" s="137"/>
      <c r="N81" s="137"/>
      <c r="O81" s="137"/>
      <c r="P81" s="137"/>
      <c r="Q81" s="137"/>
      <c r="R81" s="237"/>
      <c r="S81" s="23"/>
      <c r="T81" s="137"/>
      <c r="U81" s="137"/>
      <c r="V81" s="137"/>
      <c r="W81" s="137"/>
      <c r="X81" s="137"/>
      <c r="Y81" s="137"/>
      <c r="Z81" s="245"/>
      <c r="AA81" s="22"/>
      <c r="AB81" s="237"/>
      <c r="AC81" s="4"/>
      <c r="AD81" s="5"/>
    </row>
    <row r="82" spans="1:30" x14ac:dyDescent="0.4">
      <c r="A82" s="124" t="s">
        <v>159</v>
      </c>
      <c r="B82" s="178" t="s">
        <v>59</v>
      </c>
      <c r="C82" s="237"/>
      <c r="D82" s="137"/>
      <c r="E82" s="194" t="s">
        <v>19</v>
      </c>
      <c r="F82" s="137"/>
      <c r="G82" s="137"/>
      <c r="H82" s="137"/>
      <c r="I82" s="137"/>
      <c r="J82" s="137"/>
      <c r="K82" s="137"/>
      <c r="L82" s="137"/>
      <c r="M82" s="137"/>
      <c r="N82" s="137"/>
      <c r="O82" s="137"/>
      <c r="P82" s="137"/>
      <c r="Q82" s="137"/>
      <c r="R82" s="237"/>
      <c r="S82" s="23"/>
      <c r="T82" s="137"/>
      <c r="U82" s="137"/>
      <c r="V82" s="137"/>
      <c r="W82" s="137"/>
      <c r="X82" s="137"/>
      <c r="Y82" s="137"/>
      <c r="Z82" s="245"/>
      <c r="AA82" s="126"/>
      <c r="AB82" s="237"/>
      <c r="AC82" s="4"/>
      <c r="AD82" s="5"/>
    </row>
    <row r="83" spans="1:30" x14ac:dyDescent="0.4">
      <c r="A83" s="124" t="s">
        <v>161</v>
      </c>
      <c r="B83" s="178" t="s">
        <v>156</v>
      </c>
      <c r="C83" s="237">
        <v>24292.99</v>
      </c>
      <c r="D83" s="138">
        <v>2024.4158333333332</v>
      </c>
      <c r="E83" s="194" t="s">
        <v>19</v>
      </c>
      <c r="F83" s="138">
        <v>1612.15</v>
      </c>
      <c r="G83" s="138">
        <v>1612.15</v>
      </c>
      <c r="H83" s="138">
        <v>6569.38</v>
      </c>
      <c r="I83" s="138">
        <v>1615.8</v>
      </c>
      <c r="J83" s="138">
        <v>1535.28</v>
      </c>
      <c r="K83" s="138">
        <v>1535.28</v>
      </c>
      <c r="L83" s="138">
        <v>1785.17</v>
      </c>
      <c r="M83" s="138">
        <v>1535.28</v>
      </c>
      <c r="N83" s="138">
        <v>1535.28</v>
      </c>
      <c r="O83" s="138">
        <v>1535.28</v>
      </c>
      <c r="P83" s="138">
        <v>1535.28</v>
      </c>
      <c r="Q83" s="138">
        <v>1535.28</v>
      </c>
      <c r="R83" s="237">
        <v>23941.61</v>
      </c>
      <c r="S83" s="23"/>
      <c r="T83" s="138">
        <v>1535.28</v>
      </c>
      <c r="U83" s="138">
        <v>1535.28</v>
      </c>
      <c r="V83" s="138">
        <v>6492.51</v>
      </c>
      <c r="W83" s="138">
        <v>1531.63</v>
      </c>
      <c r="X83" s="138">
        <v>1531.63</v>
      </c>
      <c r="Y83" s="138">
        <v>1531.63</v>
      </c>
      <c r="Z83" s="245">
        <v>14157.96</v>
      </c>
      <c r="AA83" s="23"/>
      <c r="AB83" s="252">
        <f t="shared" ref="AB83:AB91" si="17">SUM(F83:K83)</f>
        <v>14480.04</v>
      </c>
      <c r="AC83" s="224">
        <f>+Z83-AB83</f>
        <v>-322.08000000000175</v>
      </c>
      <c r="AD83" s="8">
        <f t="shared" si="16"/>
        <v>-2.2243032477810953E-2</v>
      </c>
    </row>
    <row r="84" spans="1:30" x14ac:dyDescent="0.4">
      <c r="A84" s="124" t="s">
        <v>163</v>
      </c>
      <c r="B84" s="178" t="s">
        <v>158</v>
      </c>
      <c r="C84" s="237">
        <v>21400.77</v>
      </c>
      <c r="D84" s="138">
        <v>1783.3975</v>
      </c>
      <c r="E84" s="194" t="s">
        <v>19</v>
      </c>
      <c r="F84" s="138">
        <v>3214.93</v>
      </c>
      <c r="G84" s="138">
        <v>3303.56</v>
      </c>
      <c r="H84" s="138">
        <v>1558.75</v>
      </c>
      <c r="I84" s="138">
        <v>1292.71</v>
      </c>
      <c r="J84" s="138">
        <v>2962.31</v>
      </c>
      <c r="K84" s="138">
        <v>561.1</v>
      </c>
      <c r="L84" s="138">
        <v>421</v>
      </c>
      <c r="M84" s="138">
        <v>3424.16</v>
      </c>
      <c r="N84" s="138">
        <v>366.16</v>
      </c>
      <c r="O84" s="138">
        <v>781.25</v>
      </c>
      <c r="P84" s="138">
        <v>2603.9</v>
      </c>
      <c r="Q84" s="138">
        <v>670</v>
      </c>
      <c r="R84" s="237">
        <v>21159.83</v>
      </c>
      <c r="S84" s="23"/>
      <c r="T84" s="138">
        <v>395.98</v>
      </c>
      <c r="U84" s="138">
        <v>148.97999999999999</v>
      </c>
      <c r="V84" s="138">
        <v>1782.08</v>
      </c>
      <c r="W84" s="138">
        <v>959.48</v>
      </c>
      <c r="X84" s="138">
        <v>3121.54</v>
      </c>
      <c r="Y84" s="138">
        <v>675.75</v>
      </c>
      <c r="Z84" s="245">
        <v>7083.81</v>
      </c>
      <c r="AA84" s="23"/>
      <c r="AB84" s="252">
        <f t="shared" si="17"/>
        <v>12893.36</v>
      </c>
      <c r="AC84" s="224">
        <f t="shared" ref="AC84:AC91" si="18">+Z84-AB84</f>
        <v>-5809.55</v>
      </c>
      <c r="AD84" s="8">
        <f t="shared" ref="AD84:AD91" si="19">+AC84/AB84</f>
        <v>-0.45058464201728643</v>
      </c>
    </row>
    <row r="85" spans="1:30" x14ac:dyDescent="0.4">
      <c r="A85" s="124" t="s">
        <v>165</v>
      </c>
      <c r="B85" s="178" t="s">
        <v>160</v>
      </c>
      <c r="C85" s="237">
        <v>3558.79</v>
      </c>
      <c r="D85" s="138">
        <v>296.56583333333327</v>
      </c>
      <c r="E85" s="194" t="s">
        <v>19</v>
      </c>
      <c r="F85" s="137"/>
      <c r="G85" s="138">
        <v>1319.87</v>
      </c>
      <c r="H85" s="137"/>
      <c r="I85" s="138">
        <v>200</v>
      </c>
      <c r="J85" s="137"/>
      <c r="K85" s="137"/>
      <c r="L85" s="137"/>
      <c r="M85" s="137"/>
      <c r="N85" s="137"/>
      <c r="O85" s="137"/>
      <c r="P85" s="137"/>
      <c r="Q85" s="137"/>
      <c r="R85" s="237">
        <v>1519.87</v>
      </c>
      <c r="S85" s="23"/>
      <c r="T85" s="137"/>
      <c r="U85" s="137"/>
      <c r="V85" s="138">
        <v>117.89</v>
      </c>
      <c r="W85" s="137"/>
      <c r="X85" s="137"/>
      <c r="Y85" s="137"/>
      <c r="Z85" s="245">
        <v>117.89</v>
      </c>
      <c r="AA85" s="126"/>
      <c r="AB85" s="252">
        <f t="shared" si="17"/>
        <v>1519.87</v>
      </c>
      <c r="AC85" s="224">
        <f t="shared" si="18"/>
        <v>-1401.9799999999998</v>
      </c>
      <c r="AD85" s="8">
        <f t="shared" si="19"/>
        <v>-0.92243415555277752</v>
      </c>
    </row>
    <row r="86" spans="1:30" x14ac:dyDescent="0.4">
      <c r="A86" s="124" t="s">
        <v>167</v>
      </c>
      <c r="B86" s="178" t="s">
        <v>162</v>
      </c>
      <c r="C86" s="237">
        <v>3600</v>
      </c>
      <c r="D86" s="138">
        <v>300</v>
      </c>
      <c r="E86" s="194" t="s">
        <v>19</v>
      </c>
      <c r="F86" s="138">
        <v>3600</v>
      </c>
      <c r="G86" s="137"/>
      <c r="H86" s="137"/>
      <c r="I86" s="137"/>
      <c r="J86" s="137"/>
      <c r="K86" s="137"/>
      <c r="L86" s="137"/>
      <c r="M86" s="137"/>
      <c r="N86" s="137"/>
      <c r="O86" s="137"/>
      <c r="P86" s="137"/>
      <c r="Q86" s="137"/>
      <c r="R86" s="237">
        <v>3600</v>
      </c>
      <c r="S86" s="23"/>
      <c r="T86" s="138">
        <v>3875</v>
      </c>
      <c r="U86" s="137"/>
      <c r="V86" s="137"/>
      <c r="W86" s="137"/>
      <c r="X86" s="137"/>
      <c r="Y86" s="137"/>
      <c r="Z86" s="245">
        <v>3875</v>
      </c>
      <c r="AA86" s="126"/>
      <c r="AB86" s="252">
        <f t="shared" si="17"/>
        <v>3600</v>
      </c>
      <c r="AC86" s="224">
        <f t="shared" si="18"/>
        <v>275</v>
      </c>
      <c r="AD86" s="8">
        <f t="shared" si="19"/>
        <v>7.6388888888888895E-2</v>
      </c>
    </row>
    <row r="87" spans="1:30" x14ac:dyDescent="0.4">
      <c r="A87" s="124" t="s">
        <v>173</v>
      </c>
      <c r="B87" s="178" t="s">
        <v>164</v>
      </c>
      <c r="C87" s="237">
        <v>28635</v>
      </c>
      <c r="D87" s="138">
        <v>2386.25</v>
      </c>
      <c r="E87" s="194" t="s">
        <v>19</v>
      </c>
      <c r="F87" s="138">
        <v>12818</v>
      </c>
      <c r="G87" s="138">
        <v>1480</v>
      </c>
      <c r="H87" s="138">
        <v>1480</v>
      </c>
      <c r="I87" s="138">
        <v>1480</v>
      </c>
      <c r="J87" s="138">
        <v>1480</v>
      </c>
      <c r="K87" s="138">
        <v>1480</v>
      </c>
      <c r="L87" s="138">
        <v>1480</v>
      </c>
      <c r="M87" s="138">
        <v>1480</v>
      </c>
      <c r="N87" s="138">
        <v>1480</v>
      </c>
      <c r="O87" s="138">
        <v>1480</v>
      </c>
      <c r="P87" s="138">
        <v>1480</v>
      </c>
      <c r="Q87" s="138">
        <v>1480</v>
      </c>
      <c r="R87" s="237">
        <v>29098</v>
      </c>
      <c r="S87" s="128"/>
      <c r="T87" s="138">
        <v>1480</v>
      </c>
      <c r="U87" s="138">
        <v>1480</v>
      </c>
      <c r="V87" s="138">
        <v>1480</v>
      </c>
      <c r="W87" s="138">
        <v>1480</v>
      </c>
      <c r="X87" s="138">
        <v>12818</v>
      </c>
      <c r="Y87" s="138">
        <v>1480</v>
      </c>
      <c r="Z87" s="245">
        <v>20218</v>
      </c>
      <c r="AA87" s="22"/>
      <c r="AB87" s="252">
        <f t="shared" si="17"/>
        <v>20218</v>
      </c>
      <c r="AC87" s="224">
        <f t="shared" si="18"/>
        <v>0</v>
      </c>
      <c r="AD87" s="8">
        <f t="shared" si="19"/>
        <v>0</v>
      </c>
    </row>
    <row r="88" spans="1:30" x14ac:dyDescent="0.4">
      <c r="A88" s="124"/>
      <c r="B88" s="178" t="s">
        <v>166</v>
      </c>
      <c r="C88" s="237">
        <v>33638.46</v>
      </c>
      <c r="D88" s="138">
        <v>2803.2049999999999</v>
      </c>
      <c r="E88" s="194" t="s">
        <v>19</v>
      </c>
      <c r="F88" s="138">
        <v>1937.78</v>
      </c>
      <c r="G88" s="138">
        <v>20.75</v>
      </c>
      <c r="H88" s="138">
        <v>2316.12</v>
      </c>
      <c r="I88" s="138">
        <v>887.93</v>
      </c>
      <c r="J88" s="138">
        <v>1479.12</v>
      </c>
      <c r="K88" s="137"/>
      <c r="L88" s="138">
        <v>2064.92</v>
      </c>
      <c r="M88" s="138">
        <v>2964</v>
      </c>
      <c r="N88" s="138">
        <v>509.3</v>
      </c>
      <c r="O88" s="138">
        <v>2856.94</v>
      </c>
      <c r="P88" s="138">
        <v>4245.0600000000004</v>
      </c>
      <c r="Q88" s="138">
        <v>8727.52</v>
      </c>
      <c r="R88" s="237">
        <v>28009.439999999999</v>
      </c>
      <c r="S88" s="128"/>
      <c r="T88" s="138">
        <v>4722.2299999999996</v>
      </c>
      <c r="U88" s="138">
        <v>3503.85</v>
      </c>
      <c r="V88" s="138">
        <v>4700.8500000000004</v>
      </c>
      <c r="W88" s="138">
        <v>3905.68</v>
      </c>
      <c r="X88" s="138">
        <v>-204.07</v>
      </c>
      <c r="Y88" s="138">
        <v>1599.31</v>
      </c>
      <c r="Z88" s="245">
        <v>18227.849999999999</v>
      </c>
      <c r="AA88" s="22"/>
      <c r="AB88" s="252">
        <f t="shared" si="17"/>
        <v>6641.7</v>
      </c>
      <c r="AC88" s="224">
        <f t="shared" si="18"/>
        <v>11586.149999999998</v>
      </c>
      <c r="AD88" s="8">
        <f t="shared" si="19"/>
        <v>1.7444554857942993</v>
      </c>
    </row>
    <row r="89" spans="1:30" x14ac:dyDescent="0.4">
      <c r="A89" s="124"/>
      <c r="B89" s="178" t="s">
        <v>168</v>
      </c>
      <c r="C89" s="237">
        <v>45992.61</v>
      </c>
      <c r="D89" s="138">
        <v>3832.7175000000002</v>
      </c>
      <c r="E89" s="194" t="s">
        <v>19</v>
      </c>
      <c r="F89" s="138">
        <v>6093.6</v>
      </c>
      <c r="G89" s="138">
        <v>6093.6</v>
      </c>
      <c r="H89" s="138">
        <v>6123.58</v>
      </c>
      <c r="I89" s="138">
        <v>6111.7</v>
      </c>
      <c r="J89" s="138">
        <v>6523.5</v>
      </c>
      <c r="K89" s="138">
        <v>3865.59</v>
      </c>
      <c r="L89" s="138">
        <v>1950.18</v>
      </c>
      <c r="M89" s="138">
        <v>618.36</v>
      </c>
      <c r="N89" s="138">
        <v>369.14</v>
      </c>
      <c r="O89" s="138">
        <v>5606.51</v>
      </c>
      <c r="P89" s="138">
        <v>2856.53</v>
      </c>
      <c r="Q89" s="138">
        <v>2931.53</v>
      </c>
      <c r="R89" s="237">
        <v>49143.82</v>
      </c>
      <c r="S89" s="23"/>
      <c r="T89" s="138">
        <v>320.56</v>
      </c>
      <c r="U89" s="138">
        <v>5076.79</v>
      </c>
      <c r="V89" s="138">
        <v>2500</v>
      </c>
      <c r="W89" s="138">
        <v>6107.48</v>
      </c>
      <c r="X89" s="138">
        <v>4478.66</v>
      </c>
      <c r="Y89" s="138">
        <v>4778.66</v>
      </c>
      <c r="Z89" s="245">
        <v>23262.15</v>
      </c>
      <c r="AA89" s="22"/>
      <c r="AB89" s="252">
        <f t="shared" si="17"/>
        <v>34811.57</v>
      </c>
      <c r="AC89" s="224">
        <f t="shared" si="18"/>
        <v>-11549.419999999998</v>
      </c>
      <c r="AD89" s="8">
        <f t="shared" si="19"/>
        <v>-0.33176958120532912</v>
      </c>
    </row>
    <row r="90" spans="1:30" x14ac:dyDescent="0.4">
      <c r="A90" s="124"/>
      <c r="B90" s="178" t="s">
        <v>172</v>
      </c>
      <c r="C90" s="237"/>
      <c r="D90" s="138"/>
      <c r="E90" s="194" t="s">
        <v>19</v>
      </c>
      <c r="F90" s="137"/>
      <c r="G90" s="137"/>
      <c r="H90" s="137"/>
      <c r="I90" s="137"/>
      <c r="J90" s="137"/>
      <c r="K90" s="137"/>
      <c r="L90" s="137"/>
      <c r="M90" s="137"/>
      <c r="N90" s="137"/>
      <c r="O90" s="137"/>
      <c r="P90" s="137"/>
      <c r="Q90" s="138">
        <v>6000</v>
      </c>
      <c r="R90" s="237">
        <v>6000</v>
      </c>
      <c r="S90" s="23"/>
      <c r="T90" s="138">
        <v>1200</v>
      </c>
      <c r="U90" s="138">
        <v>1200</v>
      </c>
      <c r="V90" s="138">
        <v>4900</v>
      </c>
      <c r="W90" s="138">
        <v>1200</v>
      </c>
      <c r="X90" s="138">
        <v>1200</v>
      </c>
      <c r="Y90" s="138">
        <v>1200</v>
      </c>
      <c r="Z90" s="245">
        <v>10900</v>
      </c>
      <c r="AA90" s="22"/>
      <c r="AB90" s="252">
        <f t="shared" si="17"/>
        <v>0</v>
      </c>
      <c r="AC90" s="224">
        <f t="shared" si="18"/>
        <v>10900</v>
      </c>
      <c r="AD90" s="8" t="e">
        <f t="shared" si="19"/>
        <v>#DIV/0!</v>
      </c>
    </row>
    <row r="91" spans="1:30" x14ac:dyDescent="0.4">
      <c r="A91" s="124" t="s">
        <v>176</v>
      </c>
      <c r="B91" s="178" t="s">
        <v>174</v>
      </c>
      <c r="C91" s="238">
        <v>53724.84</v>
      </c>
      <c r="D91" s="139">
        <v>4477.07</v>
      </c>
      <c r="E91" s="194" t="s">
        <v>19</v>
      </c>
      <c r="F91" s="139">
        <v>4655.4399999999996</v>
      </c>
      <c r="G91" s="139">
        <v>3922.96</v>
      </c>
      <c r="H91" s="139">
        <v>3713.87</v>
      </c>
      <c r="I91" s="139">
        <v>3891.89</v>
      </c>
      <c r="J91" s="139">
        <v>3655.16</v>
      </c>
      <c r="K91" s="139">
        <v>3601.69</v>
      </c>
      <c r="L91" s="139">
        <v>3966.31</v>
      </c>
      <c r="M91" s="139">
        <v>4585.32</v>
      </c>
      <c r="N91" s="139">
        <v>5311.4</v>
      </c>
      <c r="O91" s="139">
        <v>5365.94</v>
      </c>
      <c r="P91" s="139">
        <v>5329.86</v>
      </c>
      <c r="Q91" s="139">
        <v>5403.51</v>
      </c>
      <c r="R91" s="238">
        <v>53403.35</v>
      </c>
      <c r="S91" s="23"/>
      <c r="T91" s="139">
        <v>5615.41</v>
      </c>
      <c r="U91" s="139">
        <v>4155.24</v>
      </c>
      <c r="V91" s="139">
        <v>3865.01</v>
      </c>
      <c r="W91" s="139">
        <v>4368.8</v>
      </c>
      <c r="X91" s="139">
        <v>3940.92</v>
      </c>
      <c r="Y91" s="139">
        <v>4066.72</v>
      </c>
      <c r="Z91" s="246">
        <v>26012.1</v>
      </c>
      <c r="AA91" s="22"/>
      <c r="AB91" s="253">
        <f t="shared" si="17"/>
        <v>23441.01</v>
      </c>
      <c r="AC91" s="11">
        <f t="shared" si="18"/>
        <v>2571.09</v>
      </c>
      <c r="AD91" s="12">
        <f t="shared" si="19"/>
        <v>0.10968341381194753</v>
      </c>
    </row>
    <row r="92" spans="1:30" x14ac:dyDescent="0.4">
      <c r="A92" s="124" t="s">
        <v>178</v>
      </c>
      <c r="B92" s="178" t="s">
        <v>175</v>
      </c>
      <c r="C92" s="238">
        <v>214843.46</v>
      </c>
      <c r="D92" s="139">
        <v>17903.621666666666</v>
      </c>
      <c r="E92" s="194" t="s">
        <v>19</v>
      </c>
      <c r="F92" s="139">
        <v>33931.9</v>
      </c>
      <c r="G92" s="139">
        <v>17752.89</v>
      </c>
      <c r="H92" s="139">
        <v>21761.7</v>
      </c>
      <c r="I92" s="139">
        <v>15480.03</v>
      </c>
      <c r="J92" s="139">
        <v>17635.37</v>
      </c>
      <c r="K92" s="139">
        <v>11043.66</v>
      </c>
      <c r="L92" s="139">
        <v>11667.58</v>
      </c>
      <c r="M92" s="139">
        <v>14607.12</v>
      </c>
      <c r="N92" s="139">
        <v>9571.2800000000007</v>
      </c>
      <c r="O92" s="139">
        <v>17625.919999999998</v>
      </c>
      <c r="P92" s="139">
        <v>18050.63</v>
      </c>
      <c r="Q92" s="139">
        <v>26747.84</v>
      </c>
      <c r="R92" s="238">
        <v>215875.92</v>
      </c>
      <c r="S92" s="23"/>
      <c r="T92" s="139">
        <v>19144.46</v>
      </c>
      <c r="U92" s="139">
        <v>17100.14</v>
      </c>
      <c r="V92" s="139">
        <v>25838.34</v>
      </c>
      <c r="W92" s="139">
        <v>19553.07</v>
      </c>
      <c r="X92" s="139">
        <v>26886.68</v>
      </c>
      <c r="Y92" s="139">
        <v>15332.07</v>
      </c>
      <c r="Z92" s="246">
        <v>123854.76</v>
      </c>
      <c r="AA92" s="22"/>
      <c r="AB92" s="238">
        <f>SUM(AB83:AB91)</f>
        <v>117605.55</v>
      </c>
      <c r="AC92" s="139">
        <f>SUM(AC83:AC91)</f>
        <v>6249.2099999999982</v>
      </c>
      <c r="AD92" s="12">
        <f t="shared" si="16"/>
        <v>5.3137033073694211E-2</v>
      </c>
    </row>
    <row r="93" spans="1:30" x14ac:dyDescent="0.4">
      <c r="A93" s="124" t="s">
        <v>180</v>
      </c>
      <c r="B93" s="178"/>
      <c r="C93" s="237"/>
      <c r="D93" s="137"/>
      <c r="E93" s="194" t="s">
        <v>19</v>
      </c>
      <c r="F93" s="137"/>
      <c r="G93" s="137"/>
      <c r="H93" s="137"/>
      <c r="I93" s="137"/>
      <c r="J93" s="137"/>
      <c r="K93" s="137"/>
      <c r="L93" s="137"/>
      <c r="M93" s="137"/>
      <c r="N93" s="137"/>
      <c r="O93" s="137"/>
      <c r="P93" s="137"/>
      <c r="Q93" s="137"/>
      <c r="R93" s="237"/>
      <c r="S93" s="23"/>
      <c r="T93" s="137"/>
      <c r="U93" s="137"/>
      <c r="V93" s="137"/>
      <c r="W93" s="137"/>
      <c r="X93" s="137"/>
      <c r="Y93" s="137"/>
      <c r="Z93" s="245"/>
      <c r="AA93" s="22"/>
      <c r="AB93" s="237"/>
      <c r="AC93" s="4"/>
      <c r="AD93" s="5"/>
    </row>
    <row r="94" spans="1:30" x14ac:dyDescent="0.4">
      <c r="A94" s="124" t="s">
        <v>182</v>
      </c>
      <c r="B94" s="178" t="s">
        <v>60</v>
      </c>
      <c r="C94" s="237"/>
      <c r="D94" s="137"/>
      <c r="E94" s="194" t="s">
        <v>19</v>
      </c>
      <c r="F94" s="137"/>
      <c r="G94" s="137"/>
      <c r="H94" s="137"/>
      <c r="I94" s="137"/>
      <c r="J94" s="137"/>
      <c r="K94" s="137"/>
      <c r="L94" s="137"/>
      <c r="M94" s="137"/>
      <c r="N94" s="137"/>
      <c r="O94" s="137"/>
      <c r="P94" s="137"/>
      <c r="Q94" s="137"/>
      <c r="R94" s="237"/>
      <c r="S94" s="23"/>
      <c r="T94" s="137"/>
      <c r="U94" s="137"/>
      <c r="V94" s="137"/>
      <c r="W94" s="137"/>
      <c r="X94" s="137"/>
      <c r="Y94" s="137"/>
      <c r="Z94" s="245"/>
      <c r="AA94" s="23"/>
      <c r="AB94" s="237"/>
      <c r="AC94" s="4"/>
      <c r="AD94" s="5"/>
    </row>
    <row r="95" spans="1:30" x14ac:dyDescent="0.4">
      <c r="A95" s="124" t="s">
        <v>184</v>
      </c>
      <c r="B95" s="178" t="s">
        <v>177</v>
      </c>
      <c r="C95" s="237">
        <v>55342.81</v>
      </c>
      <c r="D95" s="138">
        <v>4611.9008333333331</v>
      </c>
      <c r="E95" s="194" t="s">
        <v>19</v>
      </c>
      <c r="F95" s="138">
        <v>11014.91</v>
      </c>
      <c r="G95" s="138">
        <v>2778.22</v>
      </c>
      <c r="H95" s="138">
        <v>8656.89</v>
      </c>
      <c r="I95" s="138">
        <v>3690.82</v>
      </c>
      <c r="J95" s="138">
        <v>8288.74</v>
      </c>
      <c r="K95" s="138">
        <v>5249.84</v>
      </c>
      <c r="L95" s="138">
        <v>74.849999999999994</v>
      </c>
      <c r="M95" s="138">
        <v>1235.44</v>
      </c>
      <c r="N95" s="138">
        <v>8170.68</v>
      </c>
      <c r="O95" s="138">
        <v>2539.17</v>
      </c>
      <c r="P95" s="138">
        <v>3514.47</v>
      </c>
      <c r="Q95" s="138">
        <v>5996.95</v>
      </c>
      <c r="R95" s="237">
        <v>61210.98</v>
      </c>
      <c r="S95" s="23"/>
      <c r="T95" s="138">
        <v>5902.8</v>
      </c>
      <c r="U95" s="138">
        <v>5828.04</v>
      </c>
      <c r="V95" s="138">
        <v>2651.19</v>
      </c>
      <c r="W95" s="138">
        <v>8609.15</v>
      </c>
      <c r="X95" s="138">
        <v>3227.88</v>
      </c>
      <c r="Y95" s="138">
        <v>2538.64</v>
      </c>
      <c r="Z95" s="245">
        <v>28757.7</v>
      </c>
      <c r="AA95" s="23"/>
      <c r="AB95" s="252">
        <f t="shared" ref="AB95:AB105" si="20">SUM(F95:K95)</f>
        <v>39679.42</v>
      </c>
      <c r="AC95" s="224">
        <f>+Z95-AB95</f>
        <v>-10921.719999999998</v>
      </c>
      <c r="AD95" s="8">
        <f t="shared" si="16"/>
        <v>-0.27524898297404543</v>
      </c>
    </row>
    <row r="96" spans="1:30" x14ac:dyDescent="0.4">
      <c r="A96" s="124" t="s">
        <v>186</v>
      </c>
      <c r="B96" s="178" t="s">
        <v>179</v>
      </c>
      <c r="C96" s="237">
        <v>6420.39</v>
      </c>
      <c r="D96" s="138">
        <v>535.03250000000003</v>
      </c>
      <c r="E96" s="194" t="s">
        <v>19</v>
      </c>
      <c r="F96" s="137"/>
      <c r="G96" s="138">
        <v>9884.02</v>
      </c>
      <c r="H96" s="137"/>
      <c r="I96" s="137"/>
      <c r="J96" s="137"/>
      <c r="K96" s="137"/>
      <c r="L96" s="137"/>
      <c r="M96" s="137"/>
      <c r="N96" s="137"/>
      <c r="O96" s="138">
        <v>6935.64</v>
      </c>
      <c r="P96" s="137"/>
      <c r="Q96" s="137"/>
      <c r="R96" s="237">
        <v>16819.66</v>
      </c>
      <c r="S96" s="23"/>
      <c r="T96" s="137"/>
      <c r="U96" s="138">
        <v>1727.31</v>
      </c>
      <c r="V96" s="138">
        <v>4500</v>
      </c>
      <c r="W96" s="137"/>
      <c r="X96" s="137"/>
      <c r="Y96" s="137"/>
      <c r="Z96" s="245">
        <v>6227.31</v>
      </c>
      <c r="AA96" s="126"/>
      <c r="AB96" s="252">
        <f t="shared" si="20"/>
        <v>9884.02</v>
      </c>
      <c r="AC96" s="224">
        <f t="shared" ref="AC96:AC105" si="21">+Z96-AB96</f>
        <v>-3656.71</v>
      </c>
      <c r="AD96" s="8">
        <f t="shared" ref="AD96:AD105" si="22">+AC96/AB96</f>
        <v>-0.36996181715536797</v>
      </c>
    </row>
    <row r="97" spans="1:30" x14ac:dyDescent="0.4">
      <c r="A97" s="124" t="s">
        <v>188</v>
      </c>
      <c r="B97" s="178" t="s">
        <v>181</v>
      </c>
      <c r="C97" s="237">
        <v>6278.87</v>
      </c>
      <c r="D97" s="138">
        <v>523.23916666666673</v>
      </c>
      <c r="E97" s="194" t="s">
        <v>19</v>
      </c>
      <c r="F97" s="137"/>
      <c r="G97" s="138">
        <v>4662.96</v>
      </c>
      <c r="H97" s="137"/>
      <c r="I97" s="137"/>
      <c r="J97" s="138">
        <v>10432.89</v>
      </c>
      <c r="K97" s="137"/>
      <c r="L97" s="138">
        <v>5228.87</v>
      </c>
      <c r="M97" s="137"/>
      <c r="N97" s="137"/>
      <c r="O97" s="138">
        <v>3066.77</v>
      </c>
      <c r="P97" s="137"/>
      <c r="Q97" s="137"/>
      <c r="R97" s="237">
        <v>23391.49</v>
      </c>
      <c r="S97" s="23"/>
      <c r="T97" s="137"/>
      <c r="U97" s="138">
        <v>4420.67</v>
      </c>
      <c r="V97" s="138">
        <v>8249.4500000000007</v>
      </c>
      <c r="W97" s="137"/>
      <c r="X97" s="137"/>
      <c r="Y97" s="138">
        <v>4447.8100000000004</v>
      </c>
      <c r="Z97" s="245">
        <v>17117.93</v>
      </c>
      <c r="AA97" s="126"/>
      <c r="AB97" s="252">
        <f t="shared" si="20"/>
        <v>15095.849999999999</v>
      </c>
      <c r="AC97" s="224">
        <f t="shared" si="21"/>
        <v>2022.0800000000017</v>
      </c>
      <c r="AD97" s="8">
        <f t="shared" si="22"/>
        <v>0.13394939668849398</v>
      </c>
    </row>
    <row r="98" spans="1:30" x14ac:dyDescent="0.4">
      <c r="A98" s="124" t="s">
        <v>190</v>
      </c>
      <c r="B98" s="178" t="s">
        <v>183</v>
      </c>
      <c r="C98" s="237">
        <v>6828.3</v>
      </c>
      <c r="D98" s="138">
        <v>569.02499999999998</v>
      </c>
      <c r="E98" s="194" t="s">
        <v>19</v>
      </c>
      <c r="F98" s="137"/>
      <c r="G98" s="137"/>
      <c r="H98" s="137"/>
      <c r="I98" s="137"/>
      <c r="J98" s="137"/>
      <c r="K98" s="137"/>
      <c r="L98" s="137"/>
      <c r="M98" s="137"/>
      <c r="N98" s="137"/>
      <c r="O98" s="137"/>
      <c r="P98" s="138">
        <v>760</v>
      </c>
      <c r="Q98" s="137"/>
      <c r="R98" s="237">
        <v>760</v>
      </c>
      <c r="S98" s="23"/>
      <c r="T98" s="137"/>
      <c r="U98" s="137"/>
      <c r="V98" s="137"/>
      <c r="W98" s="137"/>
      <c r="X98" s="137"/>
      <c r="Y98" s="137"/>
      <c r="Z98" s="245"/>
      <c r="AA98" s="22"/>
      <c r="AB98" s="252">
        <f t="shared" si="20"/>
        <v>0</v>
      </c>
      <c r="AC98" s="224">
        <f t="shared" si="21"/>
        <v>0</v>
      </c>
      <c r="AD98" s="8" t="e">
        <f t="shared" si="22"/>
        <v>#DIV/0!</v>
      </c>
    </row>
    <row r="99" spans="1:30" x14ac:dyDescent="0.4">
      <c r="A99" s="124" t="s">
        <v>192</v>
      </c>
      <c r="B99" s="178" t="s">
        <v>185</v>
      </c>
      <c r="C99" s="237">
        <v>2219.38</v>
      </c>
      <c r="D99" s="138">
        <v>184.9483333333333</v>
      </c>
      <c r="E99" s="194" t="s">
        <v>19</v>
      </c>
      <c r="F99" s="138">
        <v>257.64999999999998</v>
      </c>
      <c r="G99" s="138">
        <v>423.87</v>
      </c>
      <c r="H99" s="138">
        <v>160.15</v>
      </c>
      <c r="I99" s="138">
        <v>114.5</v>
      </c>
      <c r="J99" s="137"/>
      <c r="K99" s="138">
        <v>187</v>
      </c>
      <c r="L99" s="137"/>
      <c r="M99" s="138">
        <v>434.4</v>
      </c>
      <c r="N99" s="138">
        <v>227.15</v>
      </c>
      <c r="O99" s="138">
        <v>177</v>
      </c>
      <c r="P99" s="138">
        <v>117.5</v>
      </c>
      <c r="Q99" s="137"/>
      <c r="R99" s="237">
        <v>2099.2199999999998</v>
      </c>
      <c r="S99" s="23"/>
      <c r="T99" s="137"/>
      <c r="U99" s="137"/>
      <c r="V99" s="137"/>
      <c r="W99" s="137"/>
      <c r="X99" s="137"/>
      <c r="Y99" s="137"/>
      <c r="Z99" s="245"/>
      <c r="AA99" s="22"/>
      <c r="AB99" s="252">
        <f t="shared" si="20"/>
        <v>1143.17</v>
      </c>
      <c r="AC99" s="224">
        <f t="shared" si="21"/>
        <v>-1143.17</v>
      </c>
      <c r="AD99" s="8">
        <f t="shared" si="22"/>
        <v>-1</v>
      </c>
    </row>
    <row r="100" spans="1:30" x14ac:dyDescent="0.4">
      <c r="A100" s="124" t="s">
        <v>194</v>
      </c>
      <c r="B100" s="178" t="s">
        <v>187</v>
      </c>
      <c r="C100" s="237">
        <v>3197.58</v>
      </c>
      <c r="D100" s="138">
        <v>266.46499999999997</v>
      </c>
      <c r="E100" s="194" t="s">
        <v>19</v>
      </c>
      <c r="F100" s="138">
        <v>34.369999999999997</v>
      </c>
      <c r="G100" s="137"/>
      <c r="H100" s="138">
        <v>77.3</v>
      </c>
      <c r="I100" s="138">
        <v>56.68</v>
      </c>
      <c r="J100" s="137"/>
      <c r="K100" s="138">
        <v>1588.32</v>
      </c>
      <c r="L100" s="138">
        <v>107.37</v>
      </c>
      <c r="M100" s="138">
        <v>196.75</v>
      </c>
      <c r="N100" s="138">
        <v>69.06</v>
      </c>
      <c r="O100" s="138">
        <v>1266.22</v>
      </c>
      <c r="P100" s="138">
        <v>110.97</v>
      </c>
      <c r="Q100" s="137"/>
      <c r="R100" s="237">
        <v>3507.04</v>
      </c>
      <c r="S100" s="23"/>
      <c r="T100" s="138">
        <v>60.68</v>
      </c>
      <c r="U100" s="138">
        <v>1722.43</v>
      </c>
      <c r="V100" s="138">
        <v>309.95999999999998</v>
      </c>
      <c r="W100" s="138">
        <v>230</v>
      </c>
      <c r="X100" s="138">
        <v>230</v>
      </c>
      <c r="Y100" s="138">
        <v>302.45999999999998</v>
      </c>
      <c r="Z100" s="245">
        <v>2855.53</v>
      </c>
      <c r="AA100" s="22"/>
      <c r="AB100" s="252">
        <f t="shared" si="20"/>
        <v>1756.6699999999998</v>
      </c>
      <c r="AC100" s="224">
        <f t="shared" si="21"/>
        <v>1098.8600000000004</v>
      </c>
      <c r="AD100" s="8">
        <f t="shared" si="22"/>
        <v>0.62553581492255261</v>
      </c>
    </row>
    <row r="101" spans="1:30" x14ac:dyDescent="0.4">
      <c r="A101" s="124" t="s">
        <v>198</v>
      </c>
      <c r="B101" s="178" t="s">
        <v>189</v>
      </c>
      <c r="C101" s="237">
        <v>4750</v>
      </c>
      <c r="D101" s="138">
        <v>395.83333333333331</v>
      </c>
      <c r="E101" s="194" t="s">
        <v>19</v>
      </c>
      <c r="F101" s="138">
        <v>-1220</v>
      </c>
      <c r="G101" s="137"/>
      <c r="H101" s="137"/>
      <c r="I101" s="138">
        <v>124</v>
      </c>
      <c r="J101" s="138">
        <v>1000</v>
      </c>
      <c r="K101" s="137"/>
      <c r="L101" s="138">
        <v>330</v>
      </c>
      <c r="M101" s="138"/>
      <c r="N101" s="138">
        <v>75.650000000000006</v>
      </c>
      <c r="O101" s="138">
        <v>830</v>
      </c>
      <c r="P101" s="137"/>
      <c r="Q101" s="138">
        <v>525</v>
      </c>
      <c r="R101" s="237">
        <v>1664.65</v>
      </c>
      <c r="S101" s="128"/>
      <c r="T101" s="137"/>
      <c r="U101" s="138">
        <v>480</v>
      </c>
      <c r="V101" s="137"/>
      <c r="W101" s="138">
        <v>175</v>
      </c>
      <c r="X101" s="138">
        <v>675</v>
      </c>
      <c r="Y101" s="138">
        <v>238</v>
      </c>
      <c r="Z101" s="245">
        <v>1568</v>
      </c>
      <c r="AA101" s="126"/>
      <c r="AB101" s="252">
        <f t="shared" si="20"/>
        <v>-96</v>
      </c>
      <c r="AC101" s="224">
        <f t="shared" si="21"/>
        <v>1664</v>
      </c>
      <c r="AD101" s="8">
        <f t="shared" si="22"/>
        <v>-17.333333333333332</v>
      </c>
    </row>
    <row r="102" spans="1:30" x14ac:dyDescent="0.4">
      <c r="A102" s="124"/>
      <c r="B102" s="178" t="s">
        <v>191</v>
      </c>
      <c r="C102" s="237">
        <v>4318.6499999999996</v>
      </c>
      <c r="D102" s="138">
        <v>359.88749999999999</v>
      </c>
      <c r="E102" s="194" t="s">
        <v>19</v>
      </c>
      <c r="F102" s="137"/>
      <c r="G102" s="138">
        <v>105</v>
      </c>
      <c r="H102" s="137"/>
      <c r="I102" s="138">
        <v>288.75</v>
      </c>
      <c r="J102" s="137"/>
      <c r="K102" s="138">
        <v>816.9</v>
      </c>
      <c r="L102" s="138">
        <v>170.1</v>
      </c>
      <c r="M102" s="137"/>
      <c r="N102" s="137"/>
      <c r="O102" s="137"/>
      <c r="P102" s="137"/>
      <c r="Q102" s="137"/>
      <c r="R102" s="237">
        <v>1380.75</v>
      </c>
      <c r="S102" s="128"/>
      <c r="T102" s="137"/>
      <c r="U102" s="137"/>
      <c r="V102" s="137"/>
      <c r="W102" s="137"/>
      <c r="X102" s="137"/>
      <c r="Y102" s="138">
        <v>5587.5</v>
      </c>
      <c r="Z102" s="245">
        <v>5587.5</v>
      </c>
      <c r="AA102" s="126"/>
      <c r="AB102" s="252">
        <f t="shared" si="20"/>
        <v>1210.6500000000001</v>
      </c>
      <c r="AC102" s="224">
        <f t="shared" si="21"/>
        <v>4376.8500000000004</v>
      </c>
      <c r="AD102" s="8">
        <f t="shared" si="22"/>
        <v>3.6152893073968531</v>
      </c>
    </row>
    <row r="103" spans="1:30" x14ac:dyDescent="0.4">
      <c r="A103" s="124"/>
      <c r="B103" s="178" t="s">
        <v>193</v>
      </c>
      <c r="C103" s="237">
        <v>150859.51999999999</v>
      </c>
      <c r="D103" s="138">
        <v>12571.626666666667</v>
      </c>
      <c r="E103" s="194" t="s">
        <v>19</v>
      </c>
      <c r="F103" s="138">
        <v>7021.45</v>
      </c>
      <c r="G103" s="138">
        <v>18392.419999999998</v>
      </c>
      <c r="H103" s="138">
        <v>3127.4</v>
      </c>
      <c r="I103" s="138">
        <v>17879.57</v>
      </c>
      <c r="J103" s="138">
        <v>7659.41</v>
      </c>
      <c r="K103" s="138">
        <v>15266.57</v>
      </c>
      <c r="L103" s="138">
        <v>13330.93</v>
      </c>
      <c r="M103" s="138">
        <v>2250.0500000000002</v>
      </c>
      <c r="N103" s="138">
        <v>3744.12</v>
      </c>
      <c r="O103" s="138">
        <v>3627.3</v>
      </c>
      <c r="P103" s="138">
        <v>2316.9699999999998</v>
      </c>
      <c r="Q103" s="138">
        <v>2864.68</v>
      </c>
      <c r="R103" s="237">
        <v>97480.87</v>
      </c>
      <c r="S103" s="23"/>
      <c r="T103" s="138">
        <v>7827.36</v>
      </c>
      <c r="U103" s="138">
        <v>7356.53</v>
      </c>
      <c r="V103" s="138">
        <v>42.5</v>
      </c>
      <c r="W103" s="138">
        <v>12677.87</v>
      </c>
      <c r="X103" s="138">
        <v>4082.67</v>
      </c>
      <c r="Y103" s="138">
        <v>11103.52</v>
      </c>
      <c r="Z103" s="245">
        <v>43090.45</v>
      </c>
      <c r="AA103" s="22"/>
      <c r="AB103" s="252">
        <f t="shared" si="20"/>
        <v>69346.820000000007</v>
      </c>
      <c r="AC103" s="224">
        <f t="shared" si="21"/>
        <v>-26256.37000000001</v>
      </c>
      <c r="AD103" s="8">
        <f t="shared" si="22"/>
        <v>-0.37862399458259238</v>
      </c>
    </row>
    <row r="104" spans="1:30" x14ac:dyDescent="0.4">
      <c r="A104" s="124"/>
      <c r="B104" s="178" t="s">
        <v>195</v>
      </c>
      <c r="C104" s="237">
        <v>40981.279999999999</v>
      </c>
      <c r="D104" s="138">
        <v>3415.1066666666666</v>
      </c>
      <c r="E104" s="194" t="s">
        <v>19</v>
      </c>
      <c r="F104" s="138">
        <v>1794.34</v>
      </c>
      <c r="G104" s="138">
        <v>6064.78</v>
      </c>
      <c r="H104" s="138">
        <v>4455.95</v>
      </c>
      <c r="I104" s="138">
        <v>4262.3100000000004</v>
      </c>
      <c r="J104" s="138">
        <v>1780.32</v>
      </c>
      <c r="K104" s="138">
        <v>3544.09</v>
      </c>
      <c r="L104" s="138">
        <v>2560.58</v>
      </c>
      <c r="M104" s="138">
        <v>1152.99</v>
      </c>
      <c r="N104" s="138">
        <v>2509.9499999999998</v>
      </c>
      <c r="O104" s="138">
        <v>1241.9000000000001</v>
      </c>
      <c r="P104" s="138">
        <v>2804.88</v>
      </c>
      <c r="Q104" s="138">
        <v>1157.51</v>
      </c>
      <c r="R104" s="237">
        <v>33329.599999999999</v>
      </c>
      <c r="S104" s="23"/>
      <c r="T104" s="138">
        <v>2675.44</v>
      </c>
      <c r="U104" s="138">
        <v>1488.27</v>
      </c>
      <c r="V104" s="138">
        <v>569.15</v>
      </c>
      <c r="W104" s="138">
        <v>4014.53</v>
      </c>
      <c r="X104" s="138">
        <v>448.67</v>
      </c>
      <c r="Y104" s="138">
        <v>5771.21</v>
      </c>
      <c r="Z104" s="245">
        <v>14967.27</v>
      </c>
      <c r="AA104" s="22"/>
      <c r="AB104" s="252">
        <f t="shared" si="20"/>
        <v>21901.79</v>
      </c>
      <c r="AC104" s="224">
        <f t="shared" si="21"/>
        <v>-6934.52</v>
      </c>
      <c r="AD104" s="8">
        <f t="shared" si="22"/>
        <v>-0.31661886996450977</v>
      </c>
    </row>
    <row r="105" spans="1:30" x14ac:dyDescent="0.4">
      <c r="A105" s="124" t="s">
        <v>202</v>
      </c>
      <c r="B105" s="178" t="s">
        <v>199</v>
      </c>
      <c r="C105" s="238">
        <v>37736.29</v>
      </c>
      <c r="D105" s="139">
        <v>3144.6908333333331</v>
      </c>
      <c r="E105" s="194" t="s">
        <v>19</v>
      </c>
      <c r="F105" s="139">
        <v>13604.28</v>
      </c>
      <c r="G105" s="139">
        <v>322.02</v>
      </c>
      <c r="H105" s="139">
        <v>16570.919999999998</v>
      </c>
      <c r="I105" s="139">
        <v>1078.96</v>
      </c>
      <c r="J105" s="139">
        <v>13925.61</v>
      </c>
      <c r="K105" s="139">
        <v>576.91999999999996</v>
      </c>
      <c r="L105" s="139">
        <v>733.26</v>
      </c>
      <c r="M105" s="139">
        <v>13472.29</v>
      </c>
      <c r="N105" s="139">
        <v>6020.29</v>
      </c>
      <c r="O105" s="139">
        <v>13368.88</v>
      </c>
      <c r="P105" s="139">
        <v>783.75</v>
      </c>
      <c r="Q105" s="139">
        <v>13447.24</v>
      </c>
      <c r="R105" s="238">
        <v>93904.42</v>
      </c>
      <c r="S105" s="23"/>
      <c r="T105" s="139">
        <v>814.94</v>
      </c>
      <c r="U105" s="139">
        <v>13438.57</v>
      </c>
      <c r="V105" s="139">
        <v>719.93</v>
      </c>
      <c r="W105" s="140"/>
      <c r="X105" s="139">
        <v>14170.34</v>
      </c>
      <c r="Y105" s="139">
        <v>6248.03</v>
      </c>
      <c r="Z105" s="246">
        <v>35391.81</v>
      </c>
      <c r="AA105" s="22"/>
      <c r="AB105" s="253">
        <f t="shared" si="20"/>
        <v>46078.71</v>
      </c>
      <c r="AC105" s="11">
        <f t="shared" si="21"/>
        <v>-10686.900000000001</v>
      </c>
      <c r="AD105" s="12">
        <f t="shared" si="22"/>
        <v>-0.23192706566655191</v>
      </c>
    </row>
    <row r="106" spans="1:30" x14ac:dyDescent="0.4">
      <c r="A106" s="124" t="s">
        <v>204</v>
      </c>
      <c r="B106" s="178" t="s">
        <v>200</v>
      </c>
      <c r="C106" s="238">
        <v>318933.07</v>
      </c>
      <c r="D106" s="139">
        <v>26577.755833333333</v>
      </c>
      <c r="E106" s="194" t="s">
        <v>19</v>
      </c>
      <c r="F106" s="139">
        <v>32507</v>
      </c>
      <c r="G106" s="139">
        <v>42633.29</v>
      </c>
      <c r="H106" s="139">
        <v>33048.61</v>
      </c>
      <c r="I106" s="139">
        <v>27495.59</v>
      </c>
      <c r="J106" s="139">
        <v>43086.97</v>
      </c>
      <c r="K106" s="139">
        <v>27229.64</v>
      </c>
      <c r="L106" s="139">
        <v>22535.96</v>
      </c>
      <c r="M106" s="139">
        <v>18741.919999999998</v>
      </c>
      <c r="N106" s="139">
        <v>20816.900000000001</v>
      </c>
      <c r="O106" s="139">
        <v>33052.879999999997</v>
      </c>
      <c r="P106" s="139">
        <v>10408.540000000001</v>
      </c>
      <c r="Q106" s="139">
        <v>23991.38</v>
      </c>
      <c r="R106" s="238">
        <v>335548.68</v>
      </c>
      <c r="S106" s="128"/>
      <c r="T106" s="139">
        <v>17281.22</v>
      </c>
      <c r="U106" s="139">
        <v>36461.82</v>
      </c>
      <c r="V106" s="139">
        <v>17042.18</v>
      </c>
      <c r="W106" s="139">
        <v>25706.55</v>
      </c>
      <c r="X106" s="139">
        <v>22834.560000000001</v>
      </c>
      <c r="Y106" s="139">
        <v>36237.17</v>
      </c>
      <c r="Z106" s="246">
        <v>155563.5</v>
      </c>
      <c r="AA106" s="22"/>
      <c r="AB106" s="238">
        <f>SUM(AB95:AB105)</f>
        <v>206001.1</v>
      </c>
      <c r="AC106" s="139">
        <f>SUM(AC95:AC105)</f>
        <v>-50437.600000000013</v>
      </c>
      <c r="AD106" s="12">
        <f t="shared" si="16"/>
        <v>-0.24484141104100907</v>
      </c>
    </row>
    <row r="107" spans="1:30" x14ac:dyDescent="0.4">
      <c r="A107" s="124"/>
      <c r="B107" s="178"/>
      <c r="C107" s="237"/>
      <c r="D107" s="137"/>
      <c r="E107" s="194" t="s">
        <v>19</v>
      </c>
      <c r="F107" s="137"/>
      <c r="G107" s="137"/>
      <c r="H107" s="137"/>
      <c r="I107" s="137"/>
      <c r="J107" s="137"/>
      <c r="K107" s="137"/>
      <c r="L107" s="137"/>
      <c r="M107" s="137"/>
      <c r="N107" s="137"/>
      <c r="O107" s="137"/>
      <c r="P107" s="137"/>
      <c r="Q107" s="137"/>
      <c r="R107" s="237"/>
      <c r="S107" s="23"/>
      <c r="T107" s="137"/>
      <c r="U107" s="137"/>
      <c r="V107" s="137"/>
      <c r="W107" s="137"/>
      <c r="X107" s="137"/>
      <c r="Y107" s="137"/>
      <c r="Z107" s="245"/>
      <c r="AA107" s="22"/>
      <c r="AB107" s="237"/>
      <c r="AC107" s="4"/>
      <c r="AD107" s="5"/>
    </row>
    <row r="108" spans="1:30" x14ac:dyDescent="0.4">
      <c r="A108" s="124"/>
      <c r="B108" s="178" t="s">
        <v>201</v>
      </c>
      <c r="C108" s="237"/>
      <c r="D108" s="137"/>
      <c r="E108" s="194" t="s">
        <v>19</v>
      </c>
      <c r="F108" s="137"/>
      <c r="G108" s="137"/>
      <c r="H108" s="137"/>
      <c r="I108" s="137"/>
      <c r="J108" s="137"/>
      <c r="K108" s="137"/>
      <c r="L108" s="137"/>
      <c r="M108" s="137"/>
      <c r="N108" s="137"/>
      <c r="O108" s="137"/>
      <c r="P108" s="137"/>
      <c r="Q108" s="137"/>
      <c r="R108" s="237"/>
      <c r="S108" s="128"/>
      <c r="T108" s="137"/>
      <c r="U108" s="137"/>
      <c r="V108" s="137"/>
      <c r="W108" s="137"/>
      <c r="X108" s="137"/>
      <c r="Y108" s="137"/>
      <c r="Z108" s="245"/>
      <c r="AA108" s="23"/>
      <c r="AB108" s="237"/>
      <c r="AC108" s="4"/>
      <c r="AD108" s="5"/>
    </row>
    <row r="109" spans="1:30" x14ac:dyDescent="0.4">
      <c r="A109" s="124"/>
      <c r="B109" s="178" t="s">
        <v>203</v>
      </c>
      <c r="C109" s="237">
        <v>19478.57</v>
      </c>
      <c r="D109" s="138">
        <v>1623.2141666666666</v>
      </c>
      <c r="E109" s="194" t="s">
        <v>19</v>
      </c>
      <c r="F109" s="138">
        <v>3541.75</v>
      </c>
      <c r="G109" s="138">
        <v>117</v>
      </c>
      <c r="H109" s="138">
        <v>1698.11</v>
      </c>
      <c r="I109" s="138">
        <v>5910.67</v>
      </c>
      <c r="J109" s="138">
        <v>1615.76</v>
      </c>
      <c r="K109" s="138">
        <v>129</v>
      </c>
      <c r="L109" s="138">
        <v>129</v>
      </c>
      <c r="M109" s="138">
        <v>129</v>
      </c>
      <c r="N109" s="138">
        <v>129</v>
      </c>
      <c r="O109" s="138">
        <v>129</v>
      </c>
      <c r="P109" s="138">
        <v>379</v>
      </c>
      <c r="Q109" s="138">
        <v>1209.17</v>
      </c>
      <c r="R109" s="237">
        <v>15116.46</v>
      </c>
      <c r="S109" s="128"/>
      <c r="T109" s="138">
        <v>2069</v>
      </c>
      <c r="U109" s="138">
        <v>929.5</v>
      </c>
      <c r="V109" s="138">
        <v>279.5</v>
      </c>
      <c r="W109" s="138">
        <v>979.5</v>
      </c>
      <c r="X109" s="138">
        <v>1479.5</v>
      </c>
      <c r="Y109" s="138">
        <v>1480.34</v>
      </c>
      <c r="Z109" s="245">
        <v>7217.34</v>
      </c>
      <c r="AA109" s="23"/>
      <c r="AB109" s="252">
        <f>SUM(F109:K109)</f>
        <v>13012.289999999999</v>
      </c>
      <c r="AC109" s="224">
        <f>+Z109-AB109</f>
        <v>-5794.9499999999989</v>
      </c>
      <c r="AD109" s="8">
        <f t="shared" si="16"/>
        <v>-0.44534436290614482</v>
      </c>
    </row>
    <row r="110" spans="1:30" x14ac:dyDescent="0.4">
      <c r="A110" s="124"/>
      <c r="B110" s="178" t="s">
        <v>205</v>
      </c>
      <c r="C110" s="238">
        <v>74.319999999999993</v>
      </c>
      <c r="D110" s="139">
        <v>6.1933333333332996</v>
      </c>
      <c r="E110" s="194" t="s">
        <v>19</v>
      </c>
      <c r="F110" s="140"/>
      <c r="G110" s="140"/>
      <c r="H110" s="140"/>
      <c r="I110" s="140"/>
      <c r="J110" s="140"/>
      <c r="K110" s="140"/>
      <c r="L110" s="140"/>
      <c r="M110" s="140"/>
      <c r="N110" s="140"/>
      <c r="O110" s="140"/>
      <c r="P110" s="140"/>
      <c r="Q110" s="140"/>
      <c r="R110" s="238"/>
      <c r="S110" s="23"/>
      <c r="T110" s="140"/>
      <c r="U110" s="140"/>
      <c r="V110" s="140"/>
      <c r="W110" s="140"/>
      <c r="X110" s="140"/>
      <c r="Y110" s="140"/>
      <c r="Z110" s="246"/>
      <c r="AA110" s="126"/>
      <c r="AB110" s="253">
        <f>SUM(F110:K110)</f>
        <v>0</v>
      </c>
      <c r="AC110" s="11">
        <f>+Z110-AB110</f>
        <v>0</v>
      </c>
      <c r="AD110" s="12" t="e">
        <f t="shared" ref="AD110" si="23">+AC110/AB110</f>
        <v>#DIV/0!</v>
      </c>
    </row>
    <row r="111" spans="1:30" x14ac:dyDescent="0.4">
      <c r="A111" s="124"/>
      <c r="B111" s="178" t="s">
        <v>206</v>
      </c>
      <c r="C111" s="238">
        <v>19552.89</v>
      </c>
      <c r="D111" s="139">
        <v>1629.4075</v>
      </c>
      <c r="E111" s="194" t="s">
        <v>19</v>
      </c>
      <c r="F111" s="139">
        <v>3541.75</v>
      </c>
      <c r="G111" s="139">
        <v>117</v>
      </c>
      <c r="H111" s="139">
        <v>1698.11</v>
      </c>
      <c r="I111" s="139">
        <v>5910.67</v>
      </c>
      <c r="J111" s="139">
        <v>1615.76</v>
      </c>
      <c r="K111" s="139">
        <v>129</v>
      </c>
      <c r="L111" s="139">
        <v>129</v>
      </c>
      <c r="M111" s="139">
        <v>129</v>
      </c>
      <c r="N111" s="139">
        <v>129</v>
      </c>
      <c r="O111" s="139">
        <v>129</v>
      </c>
      <c r="P111" s="139">
        <v>379</v>
      </c>
      <c r="Q111" s="139">
        <v>1209.17</v>
      </c>
      <c r="R111" s="238">
        <v>15116.46</v>
      </c>
      <c r="S111" s="23"/>
      <c r="T111" s="139">
        <v>2069</v>
      </c>
      <c r="U111" s="139">
        <v>929.5</v>
      </c>
      <c r="V111" s="139">
        <v>279.5</v>
      </c>
      <c r="W111" s="139">
        <v>979.5</v>
      </c>
      <c r="X111" s="139">
        <v>1479.5</v>
      </c>
      <c r="Y111" s="139">
        <v>1480.34</v>
      </c>
      <c r="Z111" s="246">
        <v>7217.34</v>
      </c>
      <c r="AA111" s="126"/>
      <c r="AB111" s="238">
        <f>SUM(AB109:AB110)</f>
        <v>13012.289999999999</v>
      </c>
      <c r="AC111" s="139">
        <f>SUM(AC109:AC110)</f>
        <v>-5794.9499999999989</v>
      </c>
      <c r="AD111" s="12">
        <f t="shared" si="16"/>
        <v>-0.44534436290614482</v>
      </c>
    </row>
    <row r="112" spans="1:30" x14ac:dyDescent="0.4">
      <c r="A112" s="124" t="s">
        <v>66</v>
      </c>
      <c r="B112" s="178"/>
      <c r="C112" s="237"/>
      <c r="D112" s="137"/>
      <c r="E112" s="194" t="s">
        <v>19</v>
      </c>
      <c r="F112" s="137"/>
      <c r="G112" s="137"/>
      <c r="H112" s="137"/>
      <c r="I112" s="137"/>
      <c r="J112" s="137"/>
      <c r="K112" s="137"/>
      <c r="L112" s="137"/>
      <c r="M112" s="137"/>
      <c r="N112" s="137"/>
      <c r="O112" s="137"/>
      <c r="P112" s="137"/>
      <c r="Q112" s="137"/>
      <c r="R112" s="237"/>
      <c r="S112" s="23"/>
      <c r="T112" s="137"/>
      <c r="U112" s="137"/>
      <c r="V112" s="137"/>
      <c r="W112" s="137"/>
      <c r="X112" s="137"/>
      <c r="Y112" s="137"/>
      <c r="Z112" s="245"/>
      <c r="AA112" s="22"/>
      <c r="AB112" s="237"/>
      <c r="AC112" s="4"/>
      <c r="AD112" s="5"/>
    </row>
    <row r="113" spans="1:30" x14ac:dyDescent="0.4">
      <c r="A113" s="124" t="s">
        <v>68</v>
      </c>
      <c r="B113" s="178" t="s">
        <v>207</v>
      </c>
      <c r="C113" s="238">
        <v>3121809.66</v>
      </c>
      <c r="D113" s="139">
        <v>260150.80499999999</v>
      </c>
      <c r="E113" s="194" t="s">
        <v>19</v>
      </c>
      <c r="F113" s="139">
        <v>275789.46999999997</v>
      </c>
      <c r="G113" s="139">
        <v>256479.45</v>
      </c>
      <c r="H113" s="139">
        <v>261042.34</v>
      </c>
      <c r="I113" s="139">
        <v>262351.84999999998</v>
      </c>
      <c r="J113" s="139">
        <v>290086.49</v>
      </c>
      <c r="K113" s="139">
        <v>253755.24</v>
      </c>
      <c r="L113" s="139">
        <v>244042.2</v>
      </c>
      <c r="M113" s="139">
        <v>262488.03999999998</v>
      </c>
      <c r="N113" s="139">
        <v>231835.05</v>
      </c>
      <c r="O113" s="139">
        <v>254189.6</v>
      </c>
      <c r="P113" s="139">
        <v>236031.13</v>
      </c>
      <c r="Q113" s="139">
        <v>277327.61</v>
      </c>
      <c r="R113" s="238">
        <v>3105418.47</v>
      </c>
      <c r="S113" s="128"/>
      <c r="T113" s="139">
        <v>245339.13</v>
      </c>
      <c r="U113" s="139">
        <v>266125.42</v>
      </c>
      <c r="V113" s="139">
        <v>273656.49</v>
      </c>
      <c r="W113" s="139">
        <v>290171.5</v>
      </c>
      <c r="X113" s="139">
        <v>267795.15000000002</v>
      </c>
      <c r="Y113" s="139">
        <v>284270.71999999997</v>
      </c>
      <c r="Z113" s="246">
        <v>1627358.41</v>
      </c>
      <c r="AA113" s="128"/>
      <c r="AB113" s="238">
        <f>+F113+G113</f>
        <v>532268.91999999993</v>
      </c>
      <c r="AC113" s="11">
        <f>+Z113-AB113</f>
        <v>1095089.49</v>
      </c>
      <c r="AD113" s="12">
        <f t="shared" si="16"/>
        <v>2.0573988990377274</v>
      </c>
    </row>
    <row r="114" spans="1:30" x14ac:dyDescent="0.4">
      <c r="A114" s="124"/>
      <c r="B114" s="178"/>
      <c r="C114" s="237"/>
      <c r="D114" s="137"/>
      <c r="E114" s="194" t="s">
        <v>19</v>
      </c>
      <c r="F114" s="137"/>
      <c r="G114" s="137"/>
      <c r="H114" s="137"/>
      <c r="I114" s="137"/>
      <c r="J114" s="137"/>
      <c r="K114" s="137"/>
      <c r="L114" s="137"/>
      <c r="M114" s="137"/>
      <c r="N114" s="137"/>
      <c r="O114" s="137"/>
      <c r="P114" s="137"/>
      <c r="Q114" s="137"/>
      <c r="R114" s="237"/>
      <c r="S114" s="23"/>
      <c r="T114" s="137"/>
      <c r="U114" s="137"/>
      <c r="V114" s="137"/>
      <c r="W114" s="137"/>
      <c r="X114" s="137"/>
      <c r="Y114" s="137"/>
      <c r="Z114" s="245"/>
      <c r="AA114" s="23"/>
      <c r="AB114" s="237"/>
      <c r="AC114" s="4"/>
      <c r="AD114" s="5"/>
    </row>
    <row r="115" spans="1:30" x14ac:dyDescent="0.4">
      <c r="A115" s="124"/>
      <c r="B115" s="178" t="s">
        <v>70</v>
      </c>
      <c r="C115" s="237"/>
      <c r="D115" s="137"/>
      <c r="E115" s="194" t="s">
        <v>19</v>
      </c>
      <c r="F115" s="137"/>
      <c r="G115" s="137"/>
      <c r="H115" s="137"/>
      <c r="I115" s="137"/>
      <c r="J115" s="137"/>
      <c r="K115" s="137"/>
      <c r="L115" s="137"/>
      <c r="M115" s="137"/>
      <c r="N115" s="137"/>
      <c r="O115" s="137"/>
      <c r="P115" s="137"/>
      <c r="Q115" s="137"/>
      <c r="R115" s="237"/>
      <c r="S115" s="128"/>
      <c r="T115" s="137"/>
      <c r="U115" s="137"/>
      <c r="V115" s="137"/>
      <c r="W115" s="137"/>
      <c r="X115" s="137"/>
      <c r="Y115" s="137"/>
      <c r="Z115" s="245"/>
      <c r="AA115" s="126"/>
      <c r="AB115" s="237"/>
      <c r="AC115" s="4"/>
      <c r="AD115" s="5"/>
    </row>
    <row r="116" spans="1:30" x14ac:dyDescent="0.4">
      <c r="A116" s="124"/>
      <c r="B116" s="178" t="s">
        <v>67</v>
      </c>
      <c r="C116" s="237">
        <v>415992</v>
      </c>
      <c r="D116" s="138">
        <v>34666</v>
      </c>
      <c r="E116" s="194" t="s">
        <v>19</v>
      </c>
      <c r="F116" s="138">
        <v>34666</v>
      </c>
      <c r="G116" s="138">
        <v>34666</v>
      </c>
      <c r="H116" s="138">
        <v>34666</v>
      </c>
      <c r="I116" s="138">
        <v>34666</v>
      </c>
      <c r="J116" s="138">
        <v>34666</v>
      </c>
      <c r="K116" s="138">
        <v>34666</v>
      </c>
      <c r="L116" s="138">
        <v>34666</v>
      </c>
      <c r="M116" s="138">
        <v>34666</v>
      </c>
      <c r="N116" s="138">
        <v>34666</v>
      </c>
      <c r="O116" s="138">
        <v>34666</v>
      </c>
      <c r="P116" s="138">
        <v>34666</v>
      </c>
      <c r="Q116" s="138">
        <v>34666</v>
      </c>
      <c r="R116" s="237">
        <v>415992</v>
      </c>
      <c r="S116" s="128"/>
      <c r="T116" s="138">
        <v>34666</v>
      </c>
      <c r="U116" s="138">
        <v>34666</v>
      </c>
      <c r="V116" s="138">
        <v>34666</v>
      </c>
      <c r="W116" s="138">
        <v>34666</v>
      </c>
      <c r="X116" s="138">
        <v>34666</v>
      </c>
      <c r="Y116" s="138">
        <v>34666</v>
      </c>
      <c r="Z116" s="245">
        <v>207996</v>
      </c>
      <c r="AA116" s="23"/>
      <c r="AB116" s="252">
        <f>SUM(F116:K116)</f>
        <v>207996</v>
      </c>
      <c r="AC116" s="224">
        <f>+Z116-AB116</f>
        <v>0</v>
      </c>
      <c r="AD116" s="8">
        <f t="shared" si="16"/>
        <v>0</v>
      </c>
    </row>
    <row r="117" spans="1:30" x14ac:dyDescent="0.4">
      <c r="A117" s="124"/>
      <c r="B117" s="178" t="s">
        <v>69</v>
      </c>
      <c r="C117" s="238">
        <v>55464</v>
      </c>
      <c r="D117" s="139">
        <v>4622</v>
      </c>
      <c r="E117" s="194" t="s">
        <v>19</v>
      </c>
      <c r="F117" s="139">
        <v>4622</v>
      </c>
      <c r="G117" s="139">
        <v>4622</v>
      </c>
      <c r="H117" s="139">
        <v>4622</v>
      </c>
      <c r="I117" s="139">
        <v>4622</v>
      </c>
      <c r="J117" s="139">
        <v>4622</v>
      </c>
      <c r="K117" s="139">
        <v>4622</v>
      </c>
      <c r="L117" s="139">
        <v>4622</v>
      </c>
      <c r="M117" s="139">
        <v>4622</v>
      </c>
      <c r="N117" s="139">
        <v>4622</v>
      </c>
      <c r="O117" s="139">
        <v>4622</v>
      </c>
      <c r="P117" s="139">
        <v>4622</v>
      </c>
      <c r="Q117" s="139">
        <v>4622</v>
      </c>
      <c r="R117" s="238">
        <v>55464</v>
      </c>
      <c r="S117" s="23"/>
      <c r="T117" s="139">
        <v>4622</v>
      </c>
      <c r="U117" s="139">
        <v>4622</v>
      </c>
      <c r="V117" s="139">
        <v>4622</v>
      </c>
      <c r="W117" s="139">
        <v>4622</v>
      </c>
      <c r="X117" s="139">
        <v>4622</v>
      </c>
      <c r="Y117" s="139">
        <v>4622</v>
      </c>
      <c r="Z117" s="246">
        <v>27732</v>
      </c>
      <c r="AA117" s="126"/>
      <c r="AB117" s="253">
        <f>SUM(F117:K117)</f>
        <v>27732</v>
      </c>
      <c r="AC117" s="11">
        <f>+Z117-AB117</f>
        <v>0</v>
      </c>
      <c r="AD117" s="12">
        <f t="shared" ref="AD117" si="24">+AC117/AB117</f>
        <v>0</v>
      </c>
    </row>
    <row r="118" spans="1:30" x14ac:dyDescent="0.4">
      <c r="A118" s="124"/>
      <c r="B118" s="178" t="s">
        <v>70</v>
      </c>
      <c r="C118" s="238">
        <v>471456</v>
      </c>
      <c r="D118" s="139">
        <v>39288</v>
      </c>
      <c r="E118" s="194" t="s">
        <v>19</v>
      </c>
      <c r="F118" s="139">
        <v>39288</v>
      </c>
      <c r="G118" s="139">
        <v>39288</v>
      </c>
      <c r="H118" s="139">
        <v>39288</v>
      </c>
      <c r="I118" s="139">
        <v>39288</v>
      </c>
      <c r="J118" s="139">
        <v>39288</v>
      </c>
      <c r="K118" s="139">
        <v>39288</v>
      </c>
      <c r="L118" s="139">
        <v>39288</v>
      </c>
      <c r="M118" s="139">
        <v>39288</v>
      </c>
      <c r="N118" s="139">
        <v>39288</v>
      </c>
      <c r="O118" s="139">
        <v>39288</v>
      </c>
      <c r="P118" s="139">
        <v>39288</v>
      </c>
      <c r="Q118" s="139">
        <v>39288</v>
      </c>
      <c r="R118" s="238">
        <v>471456</v>
      </c>
      <c r="S118" s="128"/>
      <c r="T118" s="139">
        <v>39288</v>
      </c>
      <c r="U118" s="139">
        <v>39288</v>
      </c>
      <c r="V118" s="139">
        <v>39288</v>
      </c>
      <c r="W118" s="139">
        <v>39288</v>
      </c>
      <c r="X118" s="139">
        <v>39288</v>
      </c>
      <c r="Y118" s="139">
        <v>39288</v>
      </c>
      <c r="Z118" s="246">
        <v>235728</v>
      </c>
      <c r="AA118" s="126"/>
      <c r="AB118" s="238">
        <f>SUM(AB116:AB117)</f>
        <v>235728</v>
      </c>
      <c r="AC118" s="139">
        <f>SUM(AC116:AC117)</f>
        <v>0</v>
      </c>
      <c r="AD118" s="12">
        <f t="shared" si="16"/>
        <v>0</v>
      </c>
    </row>
    <row r="119" spans="1:30" x14ac:dyDescent="0.4">
      <c r="A119" s="124"/>
      <c r="B119" s="178"/>
      <c r="C119" s="238"/>
      <c r="D119" s="140"/>
      <c r="E119" s="194" t="s">
        <v>19</v>
      </c>
      <c r="F119" s="140"/>
      <c r="G119" s="140"/>
      <c r="H119" s="140"/>
      <c r="I119" s="140"/>
      <c r="J119" s="140"/>
      <c r="K119" s="140"/>
      <c r="L119" s="140"/>
      <c r="M119" s="140"/>
      <c r="N119" s="140"/>
      <c r="O119" s="140"/>
      <c r="P119" s="140"/>
      <c r="Q119" s="140"/>
      <c r="R119" s="238"/>
      <c r="S119" s="128"/>
      <c r="T119" s="140"/>
      <c r="U119" s="140"/>
      <c r="V119" s="140"/>
      <c r="W119" s="140"/>
      <c r="X119" s="140"/>
      <c r="Y119" s="140"/>
      <c r="Z119" s="246"/>
      <c r="AA119" s="22"/>
      <c r="AB119" s="238"/>
      <c r="AC119" s="9"/>
      <c r="AD119" s="10"/>
    </row>
    <row r="120" spans="1:30" x14ac:dyDescent="0.4">
      <c r="A120" s="124"/>
      <c r="B120" s="178" t="s">
        <v>71</v>
      </c>
      <c r="C120" s="237">
        <v>3593265.66</v>
      </c>
      <c r="D120" s="138">
        <v>299438.80499999999</v>
      </c>
      <c r="E120" s="194" t="s">
        <v>19</v>
      </c>
      <c r="F120" s="138">
        <v>315077.46999999997</v>
      </c>
      <c r="G120" s="138">
        <v>295767.45</v>
      </c>
      <c r="H120" s="138">
        <v>300330.34000000003</v>
      </c>
      <c r="I120" s="138">
        <v>301639.84999999998</v>
      </c>
      <c r="J120" s="138">
        <v>329374.49</v>
      </c>
      <c r="K120" s="138">
        <v>293043.24</v>
      </c>
      <c r="L120" s="138">
        <v>283330.2</v>
      </c>
      <c r="M120" s="138">
        <v>301776.03999999998</v>
      </c>
      <c r="N120" s="138">
        <v>271123.05</v>
      </c>
      <c r="O120" s="138">
        <v>293477.59999999998</v>
      </c>
      <c r="P120" s="138">
        <v>275319.13</v>
      </c>
      <c r="Q120" s="138">
        <v>316615.61</v>
      </c>
      <c r="R120" s="237">
        <v>3576874.47</v>
      </c>
      <c r="S120" s="128"/>
      <c r="T120" s="138">
        <v>284627.13</v>
      </c>
      <c r="U120" s="138">
        <v>305413.42</v>
      </c>
      <c r="V120" s="138">
        <v>312944.49</v>
      </c>
      <c r="W120" s="138">
        <v>329459.5</v>
      </c>
      <c r="X120" s="138">
        <v>307083.15000000002</v>
      </c>
      <c r="Y120" s="138">
        <v>323558.71999999997</v>
      </c>
      <c r="Z120" s="245">
        <v>1863086.41</v>
      </c>
      <c r="AA120" s="23"/>
      <c r="AB120" s="237">
        <f>SUM(F120:K120)</f>
        <v>1835232.8399999999</v>
      </c>
      <c r="AC120" s="4">
        <f>+Z120-AB120</f>
        <v>27853.570000000065</v>
      </c>
      <c r="AD120" s="5">
        <f t="shared" si="16"/>
        <v>1.5177131420555916E-2</v>
      </c>
    </row>
    <row r="121" spans="1:30" x14ac:dyDescent="0.4">
      <c r="A121" s="124"/>
      <c r="B121" s="178"/>
      <c r="C121" s="237"/>
      <c r="D121" s="137"/>
      <c r="E121" s="194" t="s">
        <v>19</v>
      </c>
      <c r="F121" s="137"/>
      <c r="G121" s="137"/>
      <c r="H121" s="137"/>
      <c r="I121" s="137"/>
      <c r="J121" s="137"/>
      <c r="K121" s="137"/>
      <c r="L121" s="137"/>
      <c r="M121" s="137"/>
      <c r="N121" s="137"/>
      <c r="O121" s="137"/>
      <c r="P121" s="137"/>
      <c r="Q121" s="137"/>
      <c r="R121" s="237"/>
      <c r="T121" s="137"/>
      <c r="U121" s="137"/>
      <c r="V121" s="137"/>
      <c r="W121" s="137"/>
      <c r="X121" s="137"/>
      <c r="Y121" s="137"/>
      <c r="Z121" s="245"/>
      <c r="AA121" s="23"/>
      <c r="AB121" s="237"/>
      <c r="AC121" s="4"/>
      <c r="AD121" s="5"/>
    </row>
    <row r="122" spans="1:30" x14ac:dyDescent="0.4">
      <c r="A122" s="124"/>
      <c r="B122" s="178"/>
      <c r="C122" s="238"/>
      <c r="D122" s="140"/>
      <c r="E122" s="194" t="s">
        <v>19</v>
      </c>
      <c r="F122" s="140"/>
      <c r="G122" s="140"/>
      <c r="H122" s="140"/>
      <c r="I122" s="140"/>
      <c r="J122" s="140"/>
      <c r="K122" s="140"/>
      <c r="L122" s="140"/>
      <c r="M122" s="140"/>
      <c r="N122" s="140"/>
      <c r="O122" s="140"/>
      <c r="P122" s="140"/>
      <c r="Q122" s="140"/>
      <c r="R122" s="238"/>
      <c r="T122" s="140"/>
      <c r="U122" s="140"/>
      <c r="V122" s="140"/>
      <c r="W122" s="140"/>
      <c r="X122" s="140"/>
      <c r="Y122" s="140"/>
      <c r="Z122" s="246"/>
      <c r="AA122" s="128"/>
      <c r="AB122" s="238"/>
      <c r="AC122" s="4"/>
      <c r="AD122" s="5"/>
    </row>
    <row r="123" spans="1:30" ht="15" thickBot="1" x14ac:dyDescent="0.45">
      <c r="B123" s="178" t="s">
        <v>228</v>
      </c>
      <c r="C123" s="240">
        <v>305458.57</v>
      </c>
      <c r="D123" s="141">
        <v>25454.880833333333</v>
      </c>
      <c r="E123" s="194" t="s">
        <v>19</v>
      </c>
      <c r="F123" s="141">
        <v>87229.03</v>
      </c>
      <c r="G123" s="141">
        <v>-111380</v>
      </c>
      <c r="H123" s="141">
        <v>151162.57999999999</v>
      </c>
      <c r="I123" s="141">
        <v>-74026.37</v>
      </c>
      <c r="J123" s="141">
        <v>34446.79</v>
      </c>
      <c r="K123" s="141">
        <v>89122.93</v>
      </c>
      <c r="L123" s="141">
        <v>-98653.17</v>
      </c>
      <c r="M123" s="141">
        <v>138886.07999999999</v>
      </c>
      <c r="N123" s="141">
        <v>-75920.28</v>
      </c>
      <c r="O123" s="141">
        <v>-152798.57</v>
      </c>
      <c r="P123" s="141">
        <v>59845.87</v>
      </c>
      <c r="Q123" s="141">
        <v>-85124.71</v>
      </c>
      <c r="R123" s="240">
        <v>-37209.82</v>
      </c>
      <c r="T123" s="141">
        <v>28993.89</v>
      </c>
      <c r="U123" s="141">
        <v>-137423.57999999999</v>
      </c>
      <c r="V123" s="141">
        <v>249913.06</v>
      </c>
      <c r="W123" s="141">
        <v>199235.89</v>
      </c>
      <c r="X123" s="141">
        <v>73998.600000000006</v>
      </c>
      <c r="Y123" s="141">
        <v>140723.76999999999</v>
      </c>
      <c r="Z123" s="249">
        <v>555441.63</v>
      </c>
      <c r="AA123" s="22"/>
      <c r="AB123" s="240">
        <f>SUM(F123:K123)</f>
        <v>176554.96</v>
      </c>
      <c r="AC123" s="13">
        <f>+Z123-AB123</f>
        <v>378886.67000000004</v>
      </c>
      <c r="AD123" s="14">
        <f t="shared" si="16"/>
        <v>2.1459984471690858</v>
      </c>
    </row>
    <row r="124" spans="1:30" ht="15" thickTop="1" x14ac:dyDescent="0.4">
      <c r="T124" s="137"/>
      <c r="U124" s="137"/>
      <c r="V124" s="137"/>
      <c r="W124" s="137"/>
      <c r="X124" s="137"/>
      <c r="Y124" s="137"/>
      <c r="Z124" s="245"/>
      <c r="AA124" s="126"/>
      <c r="AB124" s="237"/>
      <c r="AC124" s="4"/>
      <c r="AD124" s="5"/>
    </row>
    <row r="125" spans="1:30" x14ac:dyDescent="0.4">
      <c r="T125" s="137"/>
      <c r="U125" s="137"/>
      <c r="V125" s="137"/>
      <c r="W125" s="137"/>
      <c r="X125" s="137"/>
      <c r="Y125" s="137"/>
      <c r="Z125" s="245"/>
      <c r="AA125" s="128"/>
      <c r="AC125" s="4"/>
      <c r="AD125" s="5"/>
    </row>
    <row r="126" spans="1:30" x14ac:dyDescent="0.4">
      <c r="T126" s="137"/>
      <c r="U126" s="137"/>
      <c r="V126" s="137"/>
      <c r="W126" s="137"/>
      <c r="X126" s="137"/>
      <c r="Y126" s="137"/>
      <c r="Z126" s="245"/>
      <c r="AA126" s="23"/>
      <c r="AC126" s="4"/>
      <c r="AD126" s="5"/>
    </row>
    <row r="127" spans="1:30" x14ac:dyDescent="0.4">
      <c r="AA127" s="126"/>
      <c r="AC127" s="4"/>
      <c r="AD127" s="5"/>
    </row>
    <row r="128" spans="1:30" x14ac:dyDescent="0.4">
      <c r="AC128" s="4"/>
      <c r="AD128" s="5"/>
    </row>
    <row r="129" spans="29:30" x14ac:dyDescent="0.4">
      <c r="AC129" s="4"/>
      <c r="AD129" s="5"/>
    </row>
    <row r="130" spans="29:30" x14ac:dyDescent="0.4">
      <c r="AC130" s="4"/>
      <c r="AD130" s="5"/>
    </row>
    <row r="131" spans="29:30" x14ac:dyDescent="0.4">
      <c r="AC131" s="4"/>
      <c r="AD131" s="5"/>
    </row>
    <row r="132" spans="29:30" x14ac:dyDescent="0.4">
      <c r="AC132" s="4"/>
      <c r="AD132" s="5"/>
    </row>
    <row r="133" spans="29:30" x14ac:dyDescent="0.4">
      <c r="AC133" s="4"/>
      <c r="AD133" s="5"/>
    </row>
    <row r="134" spans="29:30" x14ac:dyDescent="0.4">
      <c r="AC134" s="4"/>
      <c r="AD134" s="5"/>
    </row>
    <row r="135" spans="29:30" x14ac:dyDescent="0.4">
      <c r="AC135" s="4"/>
      <c r="AD135" s="5"/>
    </row>
    <row r="136" spans="29:30" x14ac:dyDescent="0.4">
      <c r="AC136" s="4"/>
      <c r="AD136" s="5"/>
    </row>
    <row r="137" spans="29:30" x14ac:dyDescent="0.4">
      <c r="AC137" s="4"/>
      <c r="AD137" s="5"/>
    </row>
    <row r="138" spans="29:30" x14ac:dyDescent="0.4">
      <c r="AC138" s="4"/>
      <c r="AD138" s="5"/>
    </row>
    <row r="139" spans="29:30" x14ac:dyDescent="0.4">
      <c r="AC139" s="4"/>
      <c r="AD139" s="5"/>
    </row>
    <row r="140" spans="29:30" x14ac:dyDescent="0.4">
      <c r="AC140" s="4"/>
      <c r="AD140" s="5"/>
    </row>
    <row r="141" spans="29:30" x14ac:dyDescent="0.4">
      <c r="AC141" s="4"/>
      <c r="AD141" s="5"/>
    </row>
    <row r="142" spans="29:30" x14ac:dyDescent="0.4">
      <c r="AC142" s="4"/>
      <c r="AD142" s="5"/>
    </row>
    <row r="143" spans="29:30" x14ac:dyDescent="0.4">
      <c r="AC143" s="4"/>
      <c r="AD143" s="5"/>
    </row>
    <row r="144" spans="29:30" x14ac:dyDescent="0.4">
      <c r="AC144" s="4"/>
      <c r="AD144" s="5"/>
    </row>
    <row r="145" spans="29:30" x14ac:dyDescent="0.4">
      <c r="AC145" s="4"/>
      <c r="AD145" s="5"/>
    </row>
    <row r="146" spans="29:30" x14ac:dyDescent="0.4">
      <c r="AC146" s="4"/>
      <c r="AD146" s="5"/>
    </row>
    <row r="147" spans="29:30" x14ac:dyDescent="0.4">
      <c r="AC147" s="4"/>
      <c r="AD147" s="5"/>
    </row>
    <row r="148" spans="29:30" x14ac:dyDescent="0.4">
      <c r="AC148" s="4"/>
      <c r="AD148" s="5"/>
    </row>
    <row r="149" spans="29:30" x14ac:dyDescent="0.4">
      <c r="AC149" s="4"/>
      <c r="AD149" s="5"/>
    </row>
    <row r="150" spans="29:30" x14ac:dyDescent="0.4">
      <c r="AC150" s="4"/>
      <c r="AD150" s="5"/>
    </row>
    <row r="151" spans="29:30" x14ac:dyDescent="0.4">
      <c r="AC151" s="4"/>
      <c r="AD151" s="5"/>
    </row>
    <row r="152" spans="29:30" x14ac:dyDescent="0.4">
      <c r="AC152" s="4"/>
      <c r="AD152" s="5"/>
    </row>
    <row r="153" spans="29:30" x14ac:dyDescent="0.4">
      <c r="AC153" s="4"/>
      <c r="AD153" s="5"/>
    </row>
    <row r="154" spans="29:30" x14ac:dyDescent="0.4">
      <c r="AC154" s="4"/>
      <c r="AD154" s="5"/>
    </row>
    <row r="155" spans="29:30" x14ac:dyDescent="0.4">
      <c r="AC155" s="4"/>
      <c r="AD155" s="5"/>
    </row>
    <row r="156" spans="29:30" x14ac:dyDescent="0.4">
      <c r="AC156" s="4"/>
      <c r="AD156" s="5"/>
    </row>
    <row r="157" spans="29:30" x14ac:dyDescent="0.4">
      <c r="AC157" s="4"/>
      <c r="AD157" s="5"/>
    </row>
    <row r="158" spans="29:30" x14ac:dyDescent="0.4">
      <c r="AC158" s="4"/>
      <c r="AD158" s="5"/>
    </row>
    <row r="159" spans="29:30" x14ac:dyDescent="0.4">
      <c r="AC159" s="4"/>
      <c r="AD159" s="5"/>
    </row>
    <row r="160" spans="29:30" x14ac:dyDescent="0.4">
      <c r="AC160" s="4"/>
      <c r="AD160" s="5"/>
    </row>
    <row r="161" spans="29:30" x14ac:dyDescent="0.4">
      <c r="AC161" s="4"/>
      <c r="AD161" s="5"/>
    </row>
    <row r="162" spans="29:30" x14ac:dyDescent="0.4">
      <c r="AC162" s="4"/>
      <c r="AD162" s="5"/>
    </row>
    <row r="163" spans="29:30" x14ac:dyDescent="0.4">
      <c r="AC163" s="4"/>
      <c r="AD163" s="5"/>
    </row>
    <row r="164" spans="29:30" x14ac:dyDescent="0.4">
      <c r="AC164" s="4"/>
      <c r="AD164" s="5"/>
    </row>
    <row r="165" spans="29:30" x14ac:dyDescent="0.4">
      <c r="AC165" s="4"/>
      <c r="AD165" s="5"/>
    </row>
    <row r="166" spans="29:30" x14ac:dyDescent="0.4">
      <c r="AC166" s="4"/>
      <c r="AD166" s="5"/>
    </row>
    <row r="167" spans="29:30" x14ac:dyDescent="0.4">
      <c r="AC167" s="4"/>
      <c r="AD167" s="5"/>
    </row>
    <row r="168" spans="29:30" x14ac:dyDescent="0.4">
      <c r="AC168" s="4"/>
      <c r="AD168" s="5"/>
    </row>
    <row r="169" spans="29:30" x14ac:dyDescent="0.4">
      <c r="AC169" s="4"/>
      <c r="AD169" s="5"/>
    </row>
    <row r="170" spans="29:30" x14ac:dyDescent="0.4">
      <c r="AC170" s="4"/>
      <c r="AD170" s="5"/>
    </row>
    <row r="171" spans="29:30" x14ac:dyDescent="0.4">
      <c r="AC171" s="4"/>
      <c r="AD171" s="5"/>
    </row>
    <row r="172" spans="29:30" x14ac:dyDescent="0.4">
      <c r="AC172" s="4"/>
      <c r="AD172" s="5"/>
    </row>
    <row r="173" spans="29:30" x14ac:dyDescent="0.4">
      <c r="AC173" s="4"/>
      <c r="AD173" s="5"/>
    </row>
    <row r="174" spans="29:30" x14ac:dyDescent="0.4">
      <c r="AC174" s="4"/>
      <c r="AD174" s="5"/>
    </row>
    <row r="175" spans="29:30" x14ac:dyDescent="0.4">
      <c r="AC175" s="4"/>
      <c r="AD175" s="5"/>
    </row>
    <row r="176" spans="29:30" x14ac:dyDescent="0.4">
      <c r="AC176" s="4"/>
      <c r="AD176" s="5"/>
    </row>
    <row r="177" spans="29:30" x14ac:dyDescent="0.4">
      <c r="AC177" s="4"/>
      <c r="AD177" s="5"/>
    </row>
    <row r="178" spans="29:30" x14ac:dyDescent="0.4">
      <c r="AC178" s="4"/>
      <c r="AD178" s="5"/>
    </row>
    <row r="179" spans="29:30" x14ac:dyDescent="0.4">
      <c r="AC179" s="4"/>
      <c r="AD179" s="5"/>
    </row>
    <row r="180" spans="29:30" x14ac:dyDescent="0.4">
      <c r="AC180" s="4"/>
      <c r="AD180" s="5"/>
    </row>
    <row r="181" spans="29:30" x14ac:dyDescent="0.4">
      <c r="AC181" s="4"/>
      <c r="AD181" s="5"/>
    </row>
    <row r="182" spans="29:30" x14ac:dyDescent="0.4">
      <c r="AC182" s="4"/>
      <c r="AD182" s="5"/>
    </row>
    <row r="183" spans="29:30" x14ac:dyDescent="0.4">
      <c r="AC183" s="4"/>
      <c r="AD183" s="5"/>
    </row>
    <row r="184" spans="29:30" x14ac:dyDescent="0.4">
      <c r="AC184" s="4"/>
      <c r="AD184" s="5"/>
    </row>
    <row r="185" spans="29:30" x14ac:dyDescent="0.4">
      <c r="AC185" s="4"/>
      <c r="AD185" s="5"/>
    </row>
    <row r="186" spans="29:30" x14ac:dyDescent="0.4">
      <c r="AC186" s="4"/>
      <c r="AD186" s="5"/>
    </row>
    <row r="187" spans="29:30" x14ac:dyDescent="0.4">
      <c r="AC187" s="4"/>
      <c r="AD187" s="5"/>
    </row>
    <row r="188" spans="29:30" x14ac:dyDescent="0.4">
      <c r="AC188" s="4"/>
      <c r="AD188" s="5"/>
    </row>
    <row r="189" spans="29:30" x14ac:dyDescent="0.4">
      <c r="AC189" s="4"/>
      <c r="AD189" s="5"/>
    </row>
    <row r="190" spans="29:30" x14ac:dyDescent="0.4">
      <c r="AC190" s="4"/>
      <c r="AD190" s="5"/>
    </row>
    <row r="191" spans="29:30" x14ac:dyDescent="0.4">
      <c r="AC191" s="4"/>
      <c r="AD191" s="5"/>
    </row>
    <row r="192" spans="29:30" x14ac:dyDescent="0.4">
      <c r="AC192" s="4"/>
      <c r="AD192" s="5"/>
    </row>
    <row r="193" spans="29:30" x14ac:dyDescent="0.4">
      <c r="AC193" s="4"/>
      <c r="AD193" s="5"/>
    </row>
    <row r="194" spans="29:30" x14ac:dyDescent="0.4">
      <c r="AC194" s="4"/>
      <c r="AD194" s="5"/>
    </row>
    <row r="195" spans="29:30" x14ac:dyDescent="0.4">
      <c r="AC195" s="4"/>
      <c r="AD195" s="5"/>
    </row>
    <row r="196" spans="29:30" x14ac:dyDescent="0.4">
      <c r="AC196" s="4"/>
      <c r="AD196" s="5"/>
    </row>
    <row r="197" spans="29:30" x14ac:dyDescent="0.4">
      <c r="AC197" s="4"/>
      <c r="AD197" s="5"/>
    </row>
    <row r="198" spans="29:30" x14ac:dyDescent="0.4">
      <c r="AC198" s="4"/>
      <c r="AD198" s="5"/>
    </row>
    <row r="199" spans="29:30" x14ac:dyDescent="0.4">
      <c r="AC199" s="4"/>
      <c r="AD199" s="5"/>
    </row>
    <row r="200" spans="29:30" x14ac:dyDescent="0.4">
      <c r="AC200" s="4"/>
      <c r="AD200" s="5"/>
    </row>
    <row r="201" spans="29:30" x14ac:dyDescent="0.4">
      <c r="AC201" s="4"/>
      <c r="AD201" s="5"/>
    </row>
    <row r="202" spans="29:30" x14ac:dyDescent="0.4">
      <c r="AC202" s="4"/>
      <c r="AD202" s="5"/>
    </row>
    <row r="203" spans="29:30" x14ac:dyDescent="0.4">
      <c r="AC203" s="4"/>
      <c r="AD203" s="5"/>
    </row>
    <row r="204" spans="29:30" x14ac:dyDescent="0.4">
      <c r="AC204" s="4"/>
      <c r="AD204" s="5"/>
    </row>
    <row r="205" spans="29:30" x14ac:dyDescent="0.4">
      <c r="AC205" s="4"/>
      <c r="AD205" s="5"/>
    </row>
    <row r="206" spans="29:30" x14ac:dyDescent="0.4">
      <c r="AC206" s="4"/>
      <c r="AD206" s="5"/>
    </row>
    <row r="207" spans="29:30" x14ac:dyDescent="0.4">
      <c r="AC207" s="4"/>
      <c r="AD207" s="5"/>
    </row>
    <row r="208" spans="29:30" x14ac:dyDescent="0.4">
      <c r="AC208" s="4"/>
      <c r="AD208" s="5"/>
    </row>
    <row r="209" spans="29:30" x14ac:dyDescent="0.4">
      <c r="AC209" s="4"/>
      <c r="AD209" s="5"/>
    </row>
    <row r="210" spans="29:30" x14ac:dyDescent="0.4">
      <c r="AC210" s="4"/>
      <c r="AD210" s="5"/>
    </row>
    <row r="211" spans="29:30" x14ac:dyDescent="0.4">
      <c r="AC211" s="4"/>
      <c r="AD211" s="5"/>
    </row>
    <row r="212" spans="29:30" x14ac:dyDescent="0.4">
      <c r="AC212" s="4"/>
      <c r="AD212" s="5"/>
    </row>
    <row r="213" spans="29:30" x14ac:dyDescent="0.4">
      <c r="AC213" s="4"/>
      <c r="AD213" s="5"/>
    </row>
    <row r="214" spans="29:30" x14ac:dyDescent="0.4">
      <c r="AC214" s="4"/>
      <c r="AD214" s="5"/>
    </row>
    <row r="215" spans="29:30" x14ac:dyDescent="0.4">
      <c r="AC215" s="4"/>
      <c r="AD215" s="5"/>
    </row>
    <row r="216" spans="29:30" x14ac:dyDescent="0.4">
      <c r="AC216" s="4"/>
      <c r="AD216" s="5"/>
    </row>
    <row r="217" spans="29:30" x14ac:dyDescent="0.4">
      <c r="AC217" s="4"/>
      <c r="AD217" s="5"/>
    </row>
    <row r="218" spans="29:30" x14ac:dyDescent="0.4">
      <c r="AC218" s="4"/>
      <c r="AD218" s="5"/>
    </row>
    <row r="219" spans="29:30" x14ac:dyDescent="0.4">
      <c r="AC219" s="4"/>
      <c r="AD219" s="5"/>
    </row>
    <row r="220" spans="29:30" x14ac:dyDescent="0.4">
      <c r="AC220" s="4"/>
      <c r="AD220" s="5"/>
    </row>
    <row r="221" spans="29:30" x14ac:dyDescent="0.4">
      <c r="AC221" s="4"/>
      <c r="AD221" s="5"/>
    </row>
    <row r="222" spans="29:30" x14ac:dyDescent="0.4">
      <c r="AC222" s="4"/>
      <c r="AD222" s="5"/>
    </row>
    <row r="223" spans="29:30" x14ac:dyDescent="0.4">
      <c r="AC223" s="4"/>
      <c r="AD223" s="5"/>
    </row>
    <row r="224" spans="29:30" x14ac:dyDescent="0.4">
      <c r="AC224" s="4"/>
      <c r="AD224" s="5"/>
    </row>
    <row r="225" spans="29:30" x14ac:dyDescent="0.4">
      <c r="AC225" s="4"/>
      <c r="AD225" s="5"/>
    </row>
    <row r="226" spans="29:30" x14ac:dyDescent="0.4">
      <c r="AC226" s="4"/>
      <c r="AD226" s="5"/>
    </row>
    <row r="227" spans="29:30" x14ac:dyDescent="0.4">
      <c r="AC227" s="4"/>
      <c r="AD227" s="5"/>
    </row>
    <row r="228" spans="29:30" x14ac:dyDescent="0.4">
      <c r="AC228" s="4"/>
      <c r="AD228" s="5"/>
    </row>
    <row r="229" spans="29:30" x14ac:dyDescent="0.4">
      <c r="AC229" s="4"/>
      <c r="AD229" s="5"/>
    </row>
    <row r="230" spans="29:30" x14ac:dyDescent="0.4">
      <c r="AC230" s="4"/>
      <c r="AD230" s="5"/>
    </row>
    <row r="231" spans="29:30" x14ac:dyDescent="0.4">
      <c r="AC231" s="4"/>
      <c r="AD231" s="5"/>
    </row>
    <row r="232" spans="29:30" x14ac:dyDescent="0.4">
      <c r="AC232" s="4"/>
      <c r="AD232" s="5"/>
    </row>
    <row r="233" spans="29:30" x14ac:dyDescent="0.4">
      <c r="AC233" s="4"/>
      <c r="AD233" s="5"/>
    </row>
    <row r="234" spans="29:30" x14ac:dyDescent="0.4">
      <c r="AC234" s="4"/>
      <c r="AD234" s="5"/>
    </row>
    <row r="235" spans="29:30" x14ac:dyDescent="0.4">
      <c r="AC235" s="4"/>
      <c r="AD235" s="5"/>
    </row>
    <row r="236" spans="29:30" x14ac:dyDescent="0.4">
      <c r="AC236" s="4"/>
      <c r="AD236" s="5"/>
    </row>
    <row r="237" spans="29:30" x14ac:dyDescent="0.4">
      <c r="AC237" s="4"/>
      <c r="AD237" s="5"/>
    </row>
    <row r="238" spans="29:30" x14ac:dyDescent="0.4">
      <c r="AC238" s="4"/>
      <c r="AD238" s="5"/>
    </row>
    <row r="239" spans="29:30" x14ac:dyDescent="0.4">
      <c r="AC239" s="4"/>
      <c r="AD239" s="5"/>
    </row>
    <row r="240" spans="29:30" x14ac:dyDescent="0.4">
      <c r="AC240" s="4"/>
      <c r="AD240" s="5"/>
    </row>
    <row r="241" spans="29:30" x14ac:dyDescent="0.4">
      <c r="AC241" s="4"/>
      <c r="AD241" s="5"/>
    </row>
    <row r="242" spans="29:30" x14ac:dyDescent="0.4">
      <c r="AC242" s="4"/>
      <c r="AD242" s="5"/>
    </row>
    <row r="243" spans="29:30" x14ac:dyDescent="0.4">
      <c r="AC243" s="4"/>
      <c r="AD243" s="5"/>
    </row>
    <row r="244" spans="29:30" x14ac:dyDescent="0.4">
      <c r="AC244" s="4"/>
      <c r="AD244" s="5"/>
    </row>
    <row r="245" spans="29:30" x14ac:dyDescent="0.4">
      <c r="AC245" s="4"/>
      <c r="AD245" s="5"/>
    </row>
    <row r="246" spans="29:30" x14ac:dyDescent="0.4">
      <c r="AC246" s="4"/>
      <c r="AD246" s="5"/>
    </row>
    <row r="247" spans="29:30" x14ac:dyDescent="0.4">
      <c r="AC247" s="4"/>
      <c r="AD247" s="5"/>
    </row>
    <row r="248" spans="29:30" x14ac:dyDescent="0.4">
      <c r="AC248" s="4"/>
      <c r="AD248" s="5"/>
    </row>
    <row r="249" spans="29:30" x14ac:dyDescent="0.4">
      <c r="AC249" s="4"/>
      <c r="AD249" s="5"/>
    </row>
    <row r="250" spans="29:30" x14ac:dyDescent="0.4">
      <c r="AC250" s="4"/>
      <c r="AD250" s="5"/>
    </row>
    <row r="251" spans="29:30" x14ac:dyDescent="0.4">
      <c r="AC251" s="4"/>
      <c r="AD251" s="5"/>
    </row>
    <row r="252" spans="29:30" x14ac:dyDescent="0.4">
      <c r="AC252" s="4"/>
      <c r="AD252" s="5"/>
    </row>
    <row r="253" spans="29:30" x14ac:dyDescent="0.4">
      <c r="AC253" s="4"/>
      <c r="AD253" s="5"/>
    </row>
    <row r="254" spans="29:30" x14ac:dyDescent="0.4">
      <c r="AC254" s="4"/>
      <c r="AD254" s="5"/>
    </row>
    <row r="255" spans="29:30" x14ac:dyDescent="0.4">
      <c r="AC255" s="4"/>
      <c r="AD255" s="5"/>
    </row>
    <row r="256" spans="29:30" x14ac:dyDescent="0.4">
      <c r="AC256" s="4"/>
      <c r="AD256" s="5"/>
    </row>
    <row r="257" spans="29:30" x14ac:dyDescent="0.4">
      <c r="AC257" s="4"/>
      <c r="AD257" s="5"/>
    </row>
    <row r="258" spans="29:30" x14ac:dyDescent="0.4">
      <c r="AC258" s="4"/>
      <c r="AD258" s="5"/>
    </row>
    <row r="259" spans="29:30" x14ac:dyDescent="0.4">
      <c r="AC259" s="4"/>
      <c r="AD259" s="5"/>
    </row>
    <row r="260" spans="29:30" x14ac:dyDescent="0.4">
      <c r="AC260" s="4"/>
      <c r="AD260" s="5"/>
    </row>
    <row r="261" spans="29:30" x14ac:dyDescent="0.4">
      <c r="AC261" s="4"/>
      <c r="AD261" s="5"/>
    </row>
    <row r="262" spans="29:30" x14ac:dyDescent="0.4">
      <c r="AC262" s="4"/>
      <c r="AD262" s="5"/>
    </row>
    <row r="263" spans="29:30" x14ac:dyDescent="0.4">
      <c r="AC263" s="4"/>
      <c r="AD263" s="5"/>
    </row>
    <row r="264" spans="29:30" x14ac:dyDescent="0.4">
      <c r="AC264" s="4"/>
      <c r="AD264" s="5"/>
    </row>
    <row r="265" spans="29:30" x14ac:dyDescent="0.4">
      <c r="AC265" s="4"/>
      <c r="AD265" s="5"/>
    </row>
    <row r="266" spans="29:30" x14ac:dyDescent="0.4">
      <c r="AC266" s="4"/>
      <c r="AD266" s="5"/>
    </row>
    <row r="267" spans="29:30" x14ac:dyDescent="0.4">
      <c r="AC267" s="4"/>
      <c r="AD267" s="5"/>
    </row>
    <row r="268" spans="29:30" x14ac:dyDescent="0.4">
      <c r="AC268" s="4"/>
      <c r="AD268" s="5"/>
    </row>
    <row r="269" spans="29:30" x14ac:dyDescent="0.4">
      <c r="AC269" s="4"/>
      <c r="AD269" s="5"/>
    </row>
    <row r="270" spans="29:30" x14ac:dyDescent="0.4">
      <c r="AC270" s="4"/>
      <c r="AD270" s="5"/>
    </row>
    <row r="271" spans="29:30" x14ac:dyDescent="0.4">
      <c r="AC271" s="4"/>
      <c r="AD271" s="5"/>
    </row>
    <row r="272" spans="29:30" x14ac:dyDescent="0.4">
      <c r="AC272" s="4"/>
      <c r="AD272" s="5"/>
    </row>
    <row r="273" spans="29:30" x14ac:dyDescent="0.4">
      <c r="AC273" s="4"/>
      <c r="AD273" s="5"/>
    </row>
    <row r="274" spans="29:30" x14ac:dyDescent="0.4">
      <c r="AC274" s="4"/>
      <c r="AD274" s="5"/>
    </row>
    <row r="275" spans="29:30" x14ac:dyDescent="0.4">
      <c r="AC275" s="4"/>
      <c r="AD275" s="5"/>
    </row>
    <row r="276" spans="29:30" x14ac:dyDescent="0.4">
      <c r="AC276" s="4"/>
      <c r="AD276" s="5"/>
    </row>
    <row r="277" spans="29:30" x14ac:dyDescent="0.4">
      <c r="AC277" s="4"/>
      <c r="AD277" s="5"/>
    </row>
    <row r="278" spans="29:30" x14ac:dyDescent="0.4">
      <c r="AC278" s="4"/>
      <c r="AD278" s="5"/>
    </row>
    <row r="279" spans="29:30" x14ac:dyDescent="0.4">
      <c r="AC279" s="4"/>
      <c r="AD279" s="5"/>
    </row>
    <row r="280" spans="29:30" x14ac:dyDescent="0.4">
      <c r="AC280" s="4"/>
      <c r="AD280" s="5"/>
    </row>
    <row r="281" spans="29:30" x14ac:dyDescent="0.4">
      <c r="AC281" s="4"/>
      <c r="AD281" s="5"/>
    </row>
    <row r="282" spans="29:30" x14ac:dyDescent="0.4">
      <c r="AC282" s="4"/>
      <c r="AD282" s="5"/>
    </row>
    <row r="283" spans="29:30" x14ac:dyDescent="0.4">
      <c r="AC283" s="4"/>
      <c r="AD283" s="5"/>
    </row>
    <row r="284" spans="29:30" x14ac:dyDescent="0.4">
      <c r="AC284" s="4"/>
      <c r="AD284" s="5"/>
    </row>
    <row r="285" spans="29:30" x14ac:dyDescent="0.4">
      <c r="AC285" s="4"/>
      <c r="AD285" s="39"/>
    </row>
    <row r="286" spans="29:30" x14ac:dyDescent="0.4">
      <c r="AC286" s="4"/>
      <c r="AD286" s="39"/>
    </row>
    <row r="287" spans="29:30" x14ac:dyDescent="0.4">
      <c r="AC287" s="4"/>
      <c r="AD287" s="39"/>
    </row>
    <row r="288" spans="29:30" x14ac:dyDescent="0.4">
      <c r="AC288" s="39"/>
      <c r="AD288" s="39"/>
    </row>
    <row r="289" spans="29:30" x14ac:dyDescent="0.4">
      <c r="AC289" s="39"/>
      <c r="AD289" s="39"/>
    </row>
    <row r="290" spans="29:30" x14ac:dyDescent="0.4">
      <c r="AC290" s="39"/>
      <c r="AD290" s="39"/>
    </row>
  </sheetData>
  <mergeCells count="3">
    <mergeCell ref="A1:AD1"/>
    <mergeCell ref="A2:AD2"/>
    <mergeCell ref="A3:AD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285"/>
  <sheetViews>
    <sheetView topLeftCell="B1" zoomScale="90" zoomScaleNormal="90" workbookViewId="0">
      <pane xSplit="1" ySplit="6" topLeftCell="N15" activePane="bottomRight" state="frozen"/>
      <selection activeCell="B1" sqref="B1"/>
      <selection pane="topRight" activeCell="C1" sqref="C1"/>
      <selection pane="bottomLeft" activeCell="B7" sqref="B7"/>
      <selection pane="bottomRight" activeCell="R20" sqref="R20"/>
    </sheetView>
  </sheetViews>
  <sheetFormatPr defaultColWidth="9.15234375" defaultRowHeight="14.6" x14ac:dyDescent="0.4"/>
  <cols>
    <col min="1" max="1" width="0" style="2" hidden="1" customWidth="1"/>
    <col min="2" max="2" width="25.84375" style="2" bestFit="1" customWidth="1"/>
    <col min="3" max="3" width="13" style="260" bestFit="1" customWidth="1"/>
    <col min="4" max="4" width="9.15234375" style="2"/>
    <col min="5" max="5" width="4.69140625" style="2" customWidth="1"/>
    <col min="6" max="17" width="9.15234375" style="2" customWidth="1"/>
    <col min="18" max="18" width="13" style="260" bestFit="1" customWidth="1"/>
    <col min="19" max="19" width="4.3828125" style="37" customWidth="1"/>
    <col min="20" max="21" width="8.3828125" style="37" bestFit="1" customWidth="1"/>
    <col min="22" max="25" width="8.3828125" style="37" customWidth="1"/>
    <col min="26" max="26" width="13" style="250" bestFit="1" customWidth="1"/>
    <col min="27" max="27" width="3.69140625" style="2" customWidth="1"/>
    <col min="28" max="28" width="13" style="260" bestFit="1" customWidth="1"/>
    <col min="29" max="29" width="9.53515625" style="2" bestFit="1" customWidth="1"/>
    <col min="30" max="16384" width="9.15234375" style="2"/>
  </cols>
  <sheetData>
    <row r="1" spans="1:30" x14ac:dyDescent="0.4">
      <c r="A1" s="290" t="s">
        <v>230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  <c r="Q1" s="290"/>
      <c r="R1" s="290"/>
      <c r="S1" s="290"/>
      <c r="T1" s="290"/>
      <c r="U1" s="290"/>
      <c r="V1" s="290"/>
      <c r="W1" s="290"/>
      <c r="X1" s="290"/>
      <c r="Y1" s="290"/>
      <c r="Z1" s="290"/>
      <c r="AA1" s="290"/>
      <c r="AB1" s="290"/>
      <c r="AC1" s="290"/>
    </row>
    <row r="2" spans="1:30" ht="15" customHeight="1" x14ac:dyDescent="0.4">
      <c r="A2" s="291" t="s">
        <v>0</v>
      </c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  <c r="O2" s="291"/>
      <c r="P2" s="291"/>
      <c r="Q2" s="291"/>
      <c r="R2" s="291"/>
      <c r="S2" s="291"/>
      <c r="T2" s="291"/>
      <c r="U2" s="291"/>
      <c r="V2" s="291"/>
      <c r="W2" s="291"/>
      <c r="X2" s="291"/>
      <c r="Y2" s="291"/>
      <c r="Z2" s="291"/>
      <c r="AA2" s="291"/>
      <c r="AB2" s="291"/>
      <c r="AC2" s="291"/>
    </row>
    <row r="3" spans="1:30" ht="15" customHeight="1" x14ac:dyDescent="0.4">
      <c r="A3" s="291" t="s">
        <v>248</v>
      </c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  <c r="O3" s="291"/>
      <c r="P3" s="291"/>
      <c r="Q3" s="291"/>
      <c r="R3" s="291"/>
      <c r="S3" s="291"/>
      <c r="T3" s="291"/>
      <c r="U3" s="291"/>
      <c r="V3" s="291"/>
      <c r="W3" s="291"/>
      <c r="X3" s="291"/>
      <c r="Y3" s="291"/>
      <c r="Z3" s="291"/>
      <c r="AA3" s="291"/>
      <c r="AB3" s="291"/>
      <c r="AC3" s="291"/>
    </row>
    <row r="4" spans="1:30" ht="15" customHeight="1" x14ac:dyDescent="0.4">
      <c r="A4" s="107"/>
      <c r="B4" s="107"/>
      <c r="C4" s="254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254"/>
      <c r="S4" s="108"/>
      <c r="T4" s="107"/>
      <c r="U4" s="223"/>
      <c r="V4" s="225"/>
      <c r="W4" s="228"/>
      <c r="X4" s="230"/>
      <c r="Y4" s="232"/>
      <c r="Z4" s="268" t="s">
        <v>250</v>
      </c>
      <c r="AB4" s="265" t="s">
        <v>242</v>
      </c>
    </row>
    <row r="5" spans="1:30" ht="15" customHeight="1" x14ac:dyDescent="0.4">
      <c r="A5" s="109" t="s">
        <v>1</v>
      </c>
      <c r="B5" s="110" t="s">
        <v>2</v>
      </c>
      <c r="C5" s="255" t="s">
        <v>235</v>
      </c>
      <c r="D5" s="110" t="s">
        <v>3</v>
      </c>
      <c r="E5" s="111"/>
      <c r="F5" s="110" t="s">
        <v>4</v>
      </c>
      <c r="G5" s="110" t="s">
        <v>5</v>
      </c>
      <c r="H5" s="110" t="s">
        <v>6</v>
      </c>
      <c r="I5" s="110" t="s">
        <v>7</v>
      </c>
      <c r="J5" s="110" t="s">
        <v>8</v>
      </c>
      <c r="K5" s="110" t="s">
        <v>9</v>
      </c>
      <c r="L5" s="110" t="s">
        <v>10</v>
      </c>
      <c r="M5" s="110" t="s">
        <v>11</v>
      </c>
      <c r="N5" s="110" t="s">
        <v>12</v>
      </c>
      <c r="O5" s="110" t="s">
        <v>13</v>
      </c>
      <c r="P5" s="110" t="s">
        <v>14</v>
      </c>
      <c r="Q5" s="110" t="s">
        <v>15</v>
      </c>
      <c r="R5" s="255" t="s">
        <v>242</v>
      </c>
      <c r="S5" s="112"/>
      <c r="T5" s="142" t="s">
        <v>16</v>
      </c>
      <c r="U5" s="142" t="s">
        <v>244</v>
      </c>
      <c r="V5" s="142" t="s">
        <v>245</v>
      </c>
      <c r="W5" s="142" t="s">
        <v>246</v>
      </c>
      <c r="X5" s="142" t="s">
        <v>247</v>
      </c>
      <c r="Y5" s="142" t="s">
        <v>249</v>
      </c>
      <c r="Z5" s="269" t="s">
        <v>17</v>
      </c>
      <c r="AA5" s="112"/>
      <c r="AB5" s="255" t="s">
        <v>238</v>
      </c>
      <c r="AC5" s="29" t="s">
        <v>240</v>
      </c>
      <c r="AD5" s="29" t="s">
        <v>239</v>
      </c>
    </row>
    <row r="6" spans="1:30" ht="15" customHeight="1" x14ac:dyDescent="0.4">
      <c r="A6" s="113"/>
      <c r="B6" s="114" t="s">
        <v>18</v>
      </c>
      <c r="C6" s="256"/>
      <c r="D6" s="115"/>
      <c r="E6" s="116" t="s">
        <v>19</v>
      </c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256"/>
      <c r="S6" s="117"/>
      <c r="T6" s="143"/>
      <c r="U6" s="143"/>
      <c r="V6" s="143"/>
      <c r="W6" s="143"/>
      <c r="X6" s="143"/>
      <c r="Y6" s="143"/>
      <c r="Z6" s="245"/>
      <c r="AA6" s="115"/>
    </row>
    <row r="7" spans="1:30" ht="15" customHeight="1" x14ac:dyDescent="0.4">
      <c r="A7" s="113"/>
      <c r="B7" s="114" t="s">
        <v>20</v>
      </c>
      <c r="C7" s="256"/>
      <c r="D7" s="115"/>
      <c r="E7" s="116" t="s">
        <v>19</v>
      </c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256"/>
      <c r="S7" s="117"/>
      <c r="T7" s="143"/>
      <c r="U7" s="143"/>
      <c r="V7" s="143"/>
      <c r="W7" s="143"/>
      <c r="X7" s="143"/>
      <c r="Y7" s="143"/>
      <c r="Z7" s="245"/>
      <c r="AA7" s="115"/>
    </row>
    <row r="8" spans="1:30" ht="15" customHeight="1" x14ac:dyDescent="0.4">
      <c r="A8" s="113" t="s">
        <v>21</v>
      </c>
      <c r="B8" s="196" t="s">
        <v>22</v>
      </c>
      <c r="C8" s="256">
        <v>2531365.15</v>
      </c>
      <c r="D8" s="144">
        <v>210947.09583333333</v>
      </c>
      <c r="E8" s="197" t="s">
        <v>19</v>
      </c>
      <c r="F8" s="144">
        <v>367628.82</v>
      </c>
      <c r="G8" s="144">
        <v>203446.04</v>
      </c>
      <c r="H8" s="144">
        <v>203793.38</v>
      </c>
      <c r="I8" s="144">
        <v>98057.26</v>
      </c>
      <c r="J8" s="144">
        <v>263981.59000000003</v>
      </c>
      <c r="K8" s="144">
        <v>194665.95</v>
      </c>
      <c r="L8" s="144">
        <v>70267.149999999994</v>
      </c>
      <c r="M8" s="144">
        <v>110442.98</v>
      </c>
      <c r="N8" s="144">
        <v>245862.2</v>
      </c>
      <c r="O8" s="144">
        <v>114014.69</v>
      </c>
      <c r="P8" s="144">
        <v>168573.26</v>
      </c>
      <c r="Q8" s="144">
        <v>67961.73</v>
      </c>
      <c r="R8" s="256">
        <v>2108695.0499999998</v>
      </c>
      <c r="S8" s="25"/>
      <c r="T8" s="144">
        <v>288857.95</v>
      </c>
      <c r="U8" s="144">
        <v>71390.100000000006</v>
      </c>
      <c r="V8" s="144">
        <v>176134.7</v>
      </c>
      <c r="W8" s="144">
        <v>113330.06</v>
      </c>
      <c r="X8" s="144">
        <v>190852.29</v>
      </c>
      <c r="Y8" s="144">
        <v>185456.78</v>
      </c>
      <c r="Z8" s="245">
        <v>1026021.88</v>
      </c>
      <c r="AA8" s="24"/>
      <c r="AB8" s="266">
        <f t="shared" ref="AB8:AB16" si="0">SUM(F8:K8)</f>
        <v>1331573.04</v>
      </c>
      <c r="AC8" s="224">
        <f>+Z8-AB8</f>
        <v>-305551.16000000003</v>
      </c>
      <c r="AD8" s="8">
        <f>+AC8/AB8</f>
        <v>-0.22946631601973561</v>
      </c>
    </row>
    <row r="9" spans="1:30" x14ac:dyDescent="0.4">
      <c r="A9" s="113" t="s">
        <v>23</v>
      </c>
      <c r="B9" s="196" t="s">
        <v>24</v>
      </c>
      <c r="C9" s="256">
        <v>364664.97</v>
      </c>
      <c r="D9" s="144">
        <v>30388.747500000001</v>
      </c>
      <c r="E9" s="197" t="s">
        <v>19</v>
      </c>
      <c r="F9" s="144">
        <v>40523.49</v>
      </c>
      <c r="G9" s="144">
        <v>20739.759999999998</v>
      </c>
      <c r="H9" s="144">
        <v>63525.96</v>
      </c>
      <c r="I9" s="144">
        <v>9797.4500000000007</v>
      </c>
      <c r="J9" s="144">
        <v>40528.86</v>
      </c>
      <c r="K9" s="144">
        <v>34987.97</v>
      </c>
      <c r="L9" s="144">
        <v>26158.44</v>
      </c>
      <c r="M9" s="144">
        <v>68735.19</v>
      </c>
      <c r="N9" s="144">
        <v>45398.67</v>
      </c>
      <c r="O9" s="144">
        <v>17718.52</v>
      </c>
      <c r="P9" s="144">
        <v>37990.89</v>
      </c>
      <c r="Q9" s="144">
        <v>3365.13</v>
      </c>
      <c r="R9" s="256">
        <v>409470.33</v>
      </c>
      <c r="S9" s="25"/>
      <c r="T9" s="144">
        <v>72461.86</v>
      </c>
      <c r="U9" s="144">
        <v>16050.88</v>
      </c>
      <c r="V9" s="144">
        <v>104173.17</v>
      </c>
      <c r="W9" s="144">
        <v>16435.189999999999</v>
      </c>
      <c r="X9" s="144">
        <v>91112.13</v>
      </c>
      <c r="Y9" s="144">
        <v>6633.06</v>
      </c>
      <c r="Z9" s="245">
        <v>306866.28999999998</v>
      </c>
      <c r="AA9" s="24"/>
      <c r="AB9" s="266">
        <f t="shared" si="0"/>
        <v>210103.49000000002</v>
      </c>
      <c r="AC9" s="224">
        <f t="shared" ref="AC9:AC16" si="1">+Z9-AB9</f>
        <v>96762.799999999959</v>
      </c>
      <c r="AD9" s="8">
        <f t="shared" ref="AD9:AD16" si="2">+AC9/AB9</f>
        <v>0.46054827551888811</v>
      </c>
    </row>
    <row r="10" spans="1:30" x14ac:dyDescent="0.4">
      <c r="A10" s="113" t="s">
        <v>27</v>
      </c>
      <c r="B10" s="196" t="s">
        <v>28</v>
      </c>
      <c r="C10" s="256">
        <v>571490.54</v>
      </c>
      <c r="D10" s="144">
        <v>47624.21166666667</v>
      </c>
      <c r="E10" s="197" t="s">
        <v>19</v>
      </c>
      <c r="F10" s="143"/>
      <c r="G10" s="144">
        <v>41367.9</v>
      </c>
      <c r="H10" s="143"/>
      <c r="I10" s="143"/>
      <c r="J10" s="144">
        <v>5000</v>
      </c>
      <c r="K10" s="143"/>
      <c r="L10" s="144">
        <v>16000</v>
      </c>
      <c r="M10" s="143"/>
      <c r="N10" s="143"/>
      <c r="O10" s="143"/>
      <c r="P10" s="144">
        <v>5000</v>
      </c>
      <c r="Q10" s="143"/>
      <c r="R10" s="256">
        <v>67367.899999999994</v>
      </c>
      <c r="S10" s="117"/>
      <c r="T10" s="144">
        <v>10000</v>
      </c>
      <c r="U10" s="144">
        <v>1000</v>
      </c>
      <c r="V10" s="144">
        <v>3000</v>
      </c>
      <c r="W10" s="143"/>
      <c r="X10" s="143"/>
      <c r="Y10" s="144">
        <v>5000</v>
      </c>
      <c r="Z10" s="245">
        <v>19000</v>
      </c>
      <c r="AA10" s="24"/>
      <c r="AB10" s="266">
        <f t="shared" si="0"/>
        <v>46367.9</v>
      </c>
      <c r="AC10" s="224">
        <f t="shared" si="1"/>
        <v>-27367.9</v>
      </c>
      <c r="AD10" s="8">
        <f t="shared" si="2"/>
        <v>-0.59023376085610957</v>
      </c>
    </row>
    <row r="11" spans="1:30" x14ac:dyDescent="0.4">
      <c r="A11" s="113" t="s">
        <v>29</v>
      </c>
      <c r="B11" s="196" t="s">
        <v>33</v>
      </c>
      <c r="C11" s="256">
        <v>101953.06</v>
      </c>
      <c r="D11" s="144">
        <v>8496.0883333333331</v>
      </c>
      <c r="E11" s="197" t="s">
        <v>19</v>
      </c>
      <c r="F11" s="144">
        <v>6991.28</v>
      </c>
      <c r="G11" s="144">
        <v>3211.96</v>
      </c>
      <c r="H11" s="144">
        <v>8012.54</v>
      </c>
      <c r="I11" s="144">
        <v>20142.259999999998</v>
      </c>
      <c r="J11" s="144">
        <v>13347.46</v>
      </c>
      <c r="K11" s="144">
        <v>7440.94</v>
      </c>
      <c r="L11" s="144">
        <v>4949.25</v>
      </c>
      <c r="M11" s="144">
        <v>2740.66</v>
      </c>
      <c r="N11" s="144">
        <v>5640.44</v>
      </c>
      <c r="O11" s="144">
        <v>18681.78</v>
      </c>
      <c r="P11" s="144">
        <v>10469.36</v>
      </c>
      <c r="Q11" s="144">
        <v>13694.02</v>
      </c>
      <c r="R11" s="256">
        <v>115321.95</v>
      </c>
      <c r="S11" s="25"/>
      <c r="T11" s="144">
        <v>18141.8</v>
      </c>
      <c r="U11" s="144">
        <v>7112.24</v>
      </c>
      <c r="V11" s="144">
        <v>6213.6</v>
      </c>
      <c r="W11" s="144">
        <v>6401.8</v>
      </c>
      <c r="X11" s="144">
        <v>11590.24</v>
      </c>
      <c r="Y11" s="144">
        <v>10653.58</v>
      </c>
      <c r="Z11" s="245">
        <v>60113.26</v>
      </c>
      <c r="AA11" s="24"/>
      <c r="AB11" s="266">
        <f t="shared" si="0"/>
        <v>59146.439999999995</v>
      </c>
      <c r="AC11" s="224">
        <f t="shared" si="1"/>
        <v>966.82000000000698</v>
      </c>
      <c r="AD11" s="8">
        <f t="shared" si="2"/>
        <v>1.634620781910132E-2</v>
      </c>
    </row>
    <row r="12" spans="1:30" x14ac:dyDescent="0.4">
      <c r="A12" s="113" t="s">
        <v>32</v>
      </c>
      <c r="B12" s="196" t="s">
        <v>35</v>
      </c>
      <c r="C12" s="256">
        <v>24200</v>
      </c>
      <c r="D12" s="144">
        <v>2016.6666666666667</v>
      </c>
      <c r="E12" s="197" t="s">
        <v>19</v>
      </c>
      <c r="F12" s="144">
        <v>1000</v>
      </c>
      <c r="G12" s="144">
        <v>1000</v>
      </c>
      <c r="H12" s="143"/>
      <c r="I12" s="143"/>
      <c r="J12" s="143"/>
      <c r="K12" s="144">
        <v>17000</v>
      </c>
      <c r="L12" s="143"/>
      <c r="M12" s="143"/>
      <c r="N12" s="143"/>
      <c r="O12" s="143"/>
      <c r="P12" s="144">
        <v>1000</v>
      </c>
      <c r="Q12" s="143"/>
      <c r="R12" s="256">
        <v>20000</v>
      </c>
      <c r="S12" s="25"/>
      <c r="T12" s="143"/>
      <c r="U12" s="144">
        <v>1000</v>
      </c>
      <c r="V12" s="144">
        <v>3000</v>
      </c>
      <c r="W12" s="143"/>
      <c r="X12" s="143"/>
      <c r="Y12" s="143"/>
      <c r="Z12" s="245">
        <v>4000</v>
      </c>
      <c r="AA12" s="24"/>
      <c r="AB12" s="266">
        <f t="shared" si="0"/>
        <v>19000</v>
      </c>
      <c r="AC12" s="224">
        <f t="shared" si="1"/>
        <v>-15000</v>
      </c>
      <c r="AD12" s="8">
        <f t="shared" si="2"/>
        <v>-0.78947368421052633</v>
      </c>
    </row>
    <row r="13" spans="1:30" x14ac:dyDescent="0.4">
      <c r="A13" s="113" t="s">
        <v>34</v>
      </c>
      <c r="B13" s="196" t="s">
        <v>37</v>
      </c>
      <c r="C13" s="256">
        <v>102258.57</v>
      </c>
      <c r="D13" s="144">
        <v>8521.5475000000006</v>
      </c>
      <c r="E13" s="197" t="s">
        <v>19</v>
      </c>
      <c r="F13" s="144">
        <v>3174</v>
      </c>
      <c r="G13" s="144">
        <v>4075.47</v>
      </c>
      <c r="H13" s="144">
        <v>1638</v>
      </c>
      <c r="I13" s="143"/>
      <c r="J13" s="144">
        <v>4869</v>
      </c>
      <c r="K13" s="144">
        <v>965.21</v>
      </c>
      <c r="L13" s="144">
        <v>285</v>
      </c>
      <c r="M13" s="143"/>
      <c r="N13" s="143"/>
      <c r="O13" s="143"/>
      <c r="P13" s="143"/>
      <c r="Q13" s="143"/>
      <c r="R13" s="256">
        <v>15006.68</v>
      </c>
      <c r="S13" s="25"/>
      <c r="T13" s="143"/>
      <c r="U13" s="143"/>
      <c r="V13" s="143"/>
      <c r="W13" s="143"/>
      <c r="X13" s="143"/>
      <c r="Y13" s="143"/>
      <c r="Z13" s="245"/>
      <c r="AA13" s="24"/>
      <c r="AB13" s="266">
        <f t="shared" si="0"/>
        <v>14721.68</v>
      </c>
      <c r="AC13" s="224">
        <f t="shared" si="1"/>
        <v>-14721.68</v>
      </c>
      <c r="AD13" s="8">
        <f t="shared" si="2"/>
        <v>-1</v>
      </c>
    </row>
    <row r="14" spans="1:30" x14ac:dyDescent="0.4">
      <c r="A14" s="113" t="s">
        <v>36</v>
      </c>
      <c r="B14" s="196" t="s">
        <v>49</v>
      </c>
      <c r="C14" s="256">
        <v>13195</v>
      </c>
      <c r="D14" s="144">
        <v>1099.5833333333333</v>
      </c>
      <c r="E14" s="197" t="s">
        <v>19</v>
      </c>
      <c r="F14" s="144">
        <v>1000</v>
      </c>
      <c r="G14" s="144">
        <v>3500</v>
      </c>
      <c r="H14" s="144">
        <v>13955.43</v>
      </c>
      <c r="I14" s="144">
        <v>7920</v>
      </c>
      <c r="J14" s="144">
        <v>500</v>
      </c>
      <c r="K14" s="144">
        <v>7600</v>
      </c>
      <c r="L14" s="144">
        <v>3554</v>
      </c>
      <c r="M14" s="144">
        <v>1175</v>
      </c>
      <c r="N14" s="144">
        <v>12200</v>
      </c>
      <c r="O14" s="144">
        <v>430</v>
      </c>
      <c r="P14" s="143"/>
      <c r="Q14" s="144">
        <v>50</v>
      </c>
      <c r="R14" s="256">
        <v>51884.43</v>
      </c>
      <c r="S14" s="25"/>
      <c r="T14" s="144">
        <v>9900</v>
      </c>
      <c r="U14" s="144">
        <v>6975</v>
      </c>
      <c r="V14" s="144">
        <v>23395</v>
      </c>
      <c r="W14" s="144">
        <v>11175</v>
      </c>
      <c r="X14" s="144">
        <v>11800</v>
      </c>
      <c r="Y14" s="144">
        <v>13822</v>
      </c>
      <c r="Z14" s="245">
        <v>77067</v>
      </c>
      <c r="AA14" s="24"/>
      <c r="AB14" s="266">
        <f t="shared" si="0"/>
        <v>34475.43</v>
      </c>
      <c r="AC14" s="224">
        <f t="shared" si="1"/>
        <v>42591.57</v>
      </c>
      <c r="AD14" s="8">
        <f t="shared" si="2"/>
        <v>1.2354180934073919</v>
      </c>
    </row>
    <row r="15" spans="1:30" x14ac:dyDescent="0.4">
      <c r="A15" s="113" t="s">
        <v>48</v>
      </c>
      <c r="B15" s="196" t="s">
        <v>51</v>
      </c>
      <c r="C15" s="256">
        <v>100</v>
      </c>
      <c r="D15" s="144">
        <v>8.3333333333333002</v>
      </c>
      <c r="E15" s="197" t="s">
        <v>19</v>
      </c>
      <c r="F15" s="143"/>
      <c r="G15" s="143"/>
      <c r="H15" s="143"/>
      <c r="I15" s="143"/>
      <c r="J15" s="143"/>
      <c r="K15" s="143"/>
      <c r="L15" s="143"/>
      <c r="M15" s="144">
        <v>100</v>
      </c>
      <c r="N15" s="143"/>
      <c r="O15" s="143"/>
      <c r="P15" s="143"/>
      <c r="Q15" s="143"/>
      <c r="R15" s="256">
        <v>100</v>
      </c>
      <c r="S15" s="25"/>
      <c r="T15" s="143"/>
      <c r="U15" s="143"/>
      <c r="V15" s="143"/>
      <c r="W15" s="144">
        <v>150</v>
      </c>
      <c r="X15" s="143"/>
      <c r="Y15" s="143"/>
      <c r="Z15" s="245">
        <v>150</v>
      </c>
      <c r="AA15" s="24"/>
      <c r="AB15" s="266">
        <f t="shared" si="0"/>
        <v>0</v>
      </c>
      <c r="AC15" s="224">
        <f t="shared" si="1"/>
        <v>150</v>
      </c>
      <c r="AD15" s="8" t="e">
        <f t="shared" si="2"/>
        <v>#DIV/0!</v>
      </c>
    </row>
    <row r="16" spans="1:30" x14ac:dyDescent="0.4">
      <c r="A16" s="113" t="s">
        <v>50</v>
      </c>
      <c r="B16" s="196" t="s">
        <v>53</v>
      </c>
      <c r="C16" s="257">
        <v>9888.43</v>
      </c>
      <c r="D16" s="145">
        <v>824.03583333333324</v>
      </c>
      <c r="E16" s="197" t="s">
        <v>19</v>
      </c>
      <c r="F16" s="145">
        <v>1002.63</v>
      </c>
      <c r="G16" s="145">
        <v>1200</v>
      </c>
      <c r="H16" s="145">
        <v>3.53</v>
      </c>
      <c r="I16" s="145">
        <v>29.26</v>
      </c>
      <c r="J16" s="145">
        <v>151.26</v>
      </c>
      <c r="K16" s="146"/>
      <c r="L16" s="145">
        <v>533.29999999999995</v>
      </c>
      <c r="M16" s="145">
        <v>0.03</v>
      </c>
      <c r="N16" s="145">
        <v>27.62</v>
      </c>
      <c r="O16" s="145">
        <v>0.01</v>
      </c>
      <c r="P16" s="145">
        <v>0.01</v>
      </c>
      <c r="Q16" s="145">
        <v>27.61</v>
      </c>
      <c r="R16" s="257">
        <v>2975.26</v>
      </c>
      <c r="S16" s="25"/>
      <c r="T16" s="145">
        <v>31.15</v>
      </c>
      <c r="U16" s="145">
        <v>0.01</v>
      </c>
      <c r="V16" s="145">
        <v>32.36</v>
      </c>
      <c r="W16" s="262">
        <v>322200.86</v>
      </c>
      <c r="X16" s="146"/>
      <c r="Y16" s="145">
        <v>1.49</v>
      </c>
      <c r="Z16" s="246">
        <v>322265.87</v>
      </c>
      <c r="AA16" s="25"/>
      <c r="AB16" s="267">
        <f t="shared" si="0"/>
        <v>2386.6800000000003</v>
      </c>
      <c r="AC16" s="11">
        <f t="shared" si="1"/>
        <v>319879.19</v>
      </c>
      <c r="AD16" s="12">
        <f t="shared" si="2"/>
        <v>134.02684482209594</v>
      </c>
    </row>
    <row r="17" spans="1:30" x14ac:dyDescent="0.4">
      <c r="A17" s="113" t="s">
        <v>52</v>
      </c>
      <c r="B17" s="196" t="s">
        <v>54</v>
      </c>
      <c r="C17" s="257">
        <v>3719115.72</v>
      </c>
      <c r="D17" s="145">
        <v>309926.31</v>
      </c>
      <c r="E17" s="197" t="s">
        <v>19</v>
      </c>
      <c r="F17" s="145">
        <v>421320.22</v>
      </c>
      <c r="G17" s="145">
        <v>278541.13</v>
      </c>
      <c r="H17" s="145">
        <v>290928.84000000003</v>
      </c>
      <c r="I17" s="145">
        <v>135946.23000000001</v>
      </c>
      <c r="J17" s="145">
        <v>328378.17</v>
      </c>
      <c r="K17" s="145">
        <v>262660.07</v>
      </c>
      <c r="L17" s="145">
        <v>121747.14</v>
      </c>
      <c r="M17" s="145">
        <v>183193.86</v>
      </c>
      <c r="N17" s="145">
        <v>309128.93</v>
      </c>
      <c r="O17" s="145">
        <v>150845</v>
      </c>
      <c r="P17" s="145">
        <v>223033.52</v>
      </c>
      <c r="Q17" s="145">
        <v>85098.49</v>
      </c>
      <c r="R17" s="257">
        <v>2790821.6</v>
      </c>
      <c r="S17" s="25"/>
      <c r="T17" s="145">
        <v>399392.76</v>
      </c>
      <c r="U17" s="145">
        <v>103528.23</v>
      </c>
      <c r="V17" s="145">
        <v>315948.83</v>
      </c>
      <c r="W17" s="145">
        <v>469692.91</v>
      </c>
      <c r="X17" s="145">
        <v>305354.65999999997</v>
      </c>
      <c r="Y17" s="145">
        <v>221566.91</v>
      </c>
      <c r="Z17" s="246">
        <v>1815484.3</v>
      </c>
      <c r="AA17" s="25"/>
      <c r="AB17" s="257">
        <f>SUM(AB8:AB16)</f>
        <v>1717774.6599999997</v>
      </c>
      <c r="AC17" s="11">
        <f>SUM(AC8:AC16)</f>
        <v>97709.639999999956</v>
      </c>
      <c r="AD17" s="12">
        <f>+AC17/AB17</f>
        <v>5.6881523680178153E-2</v>
      </c>
    </row>
    <row r="18" spans="1:30" x14ac:dyDescent="0.4">
      <c r="A18" s="113"/>
      <c r="B18" s="196"/>
      <c r="C18" s="256"/>
      <c r="D18" s="143"/>
      <c r="E18" s="197" t="s">
        <v>19</v>
      </c>
      <c r="F18" s="143"/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256"/>
      <c r="S18" s="25"/>
      <c r="T18" s="143"/>
      <c r="U18" s="143"/>
      <c r="V18" s="143"/>
      <c r="W18" s="143"/>
      <c r="X18" s="143"/>
      <c r="Y18" s="143"/>
      <c r="Z18" s="245"/>
      <c r="AA18" s="115"/>
      <c r="AB18" s="256"/>
      <c r="AC18" s="4"/>
      <c r="AD18" s="5"/>
    </row>
    <row r="19" spans="1:30" x14ac:dyDescent="0.4">
      <c r="A19" s="113"/>
      <c r="B19" s="196" t="s">
        <v>55</v>
      </c>
      <c r="C19" s="256"/>
      <c r="D19" s="143"/>
      <c r="E19" s="197" t="s">
        <v>19</v>
      </c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256"/>
      <c r="S19" s="25"/>
      <c r="T19" s="143"/>
      <c r="U19" s="143"/>
      <c r="V19" s="143"/>
      <c r="W19" s="143"/>
      <c r="X19" s="143"/>
      <c r="Y19" s="143"/>
      <c r="Z19" s="245"/>
      <c r="AA19" s="115"/>
      <c r="AB19" s="256"/>
      <c r="AC19" s="4"/>
      <c r="AD19" s="5"/>
    </row>
    <row r="20" spans="1:30" x14ac:dyDescent="0.4">
      <c r="A20" s="113"/>
      <c r="B20" s="196" t="s">
        <v>56</v>
      </c>
      <c r="C20" s="256">
        <v>1976259.33</v>
      </c>
      <c r="D20" s="144">
        <v>164688.2775</v>
      </c>
      <c r="E20" s="197" t="s">
        <v>19</v>
      </c>
      <c r="F20" s="144">
        <v>177049.82</v>
      </c>
      <c r="G20" s="144">
        <v>178172.16</v>
      </c>
      <c r="H20" s="144">
        <v>177166.48</v>
      </c>
      <c r="I20" s="144">
        <v>182994.72</v>
      </c>
      <c r="J20" s="144">
        <v>183685.06</v>
      </c>
      <c r="K20" s="144">
        <v>177244.26</v>
      </c>
      <c r="L20" s="144">
        <v>172670.6</v>
      </c>
      <c r="M20" s="144">
        <v>168418.47</v>
      </c>
      <c r="N20" s="144">
        <v>170141.05</v>
      </c>
      <c r="O20" s="144">
        <v>168751.79</v>
      </c>
      <c r="P20" s="144">
        <v>168358.23</v>
      </c>
      <c r="Q20" s="144">
        <v>168372.34</v>
      </c>
      <c r="R20" s="256">
        <v>2093024.98</v>
      </c>
      <c r="S20" s="117"/>
      <c r="T20" s="144">
        <v>188138.64</v>
      </c>
      <c r="U20" s="144">
        <v>181713.35</v>
      </c>
      <c r="V20" s="144">
        <v>184936.44</v>
      </c>
      <c r="W20" s="144">
        <v>178938.84</v>
      </c>
      <c r="X20" s="144">
        <v>140153.95000000001</v>
      </c>
      <c r="Y20" s="144">
        <v>142321.56</v>
      </c>
      <c r="Z20" s="245">
        <v>1016202.78</v>
      </c>
      <c r="AA20" s="24"/>
      <c r="AB20" s="266">
        <f t="shared" ref="AB20:AB25" si="3">SUM(F20:K20)</f>
        <v>1076312.5</v>
      </c>
      <c r="AC20" s="224">
        <f>+Z20-AB20</f>
        <v>-60109.719999999972</v>
      </c>
      <c r="AD20" s="8">
        <f>+AC20/AB20</f>
        <v>-5.5847832297775943E-2</v>
      </c>
    </row>
    <row r="21" spans="1:30" x14ac:dyDescent="0.4">
      <c r="A21" s="113"/>
      <c r="B21" s="196" t="s">
        <v>57</v>
      </c>
      <c r="C21" s="256">
        <v>68932.98</v>
      </c>
      <c r="D21" s="144">
        <v>5744.415</v>
      </c>
      <c r="E21" s="197" t="s">
        <v>19</v>
      </c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256"/>
      <c r="S21" s="117"/>
      <c r="T21" s="144"/>
      <c r="U21" s="144"/>
      <c r="V21" s="144"/>
      <c r="W21" s="144"/>
      <c r="X21" s="144"/>
      <c r="Y21" s="144"/>
      <c r="Z21" s="245"/>
      <c r="AA21" s="24"/>
      <c r="AB21" s="266">
        <f t="shared" si="3"/>
        <v>0</v>
      </c>
      <c r="AC21" s="224">
        <f>+Z21-AB21</f>
        <v>0</v>
      </c>
      <c r="AD21" s="8" t="e">
        <f t="shared" ref="AD21:AD25" si="4">+AC21/AB21</f>
        <v>#DIV/0!</v>
      </c>
    </row>
    <row r="22" spans="1:30" x14ac:dyDescent="0.4">
      <c r="A22" s="113"/>
      <c r="B22" s="196" t="s">
        <v>58</v>
      </c>
      <c r="C22" s="256">
        <v>399650.18</v>
      </c>
      <c r="D22" s="144">
        <v>33304.181666666664</v>
      </c>
      <c r="E22" s="197" t="s">
        <v>19</v>
      </c>
      <c r="F22" s="144">
        <v>28289.54</v>
      </c>
      <c r="G22" s="144">
        <v>24510.639999999999</v>
      </c>
      <c r="H22" s="144">
        <v>33763.94</v>
      </c>
      <c r="I22" s="144">
        <v>29551.35</v>
      </c>
      <c r="J22" s="144">
        <v>28440.97</v>
      </c>
      <c r="K22" s="144">
        <v>30463.54</v>
      </c>
      <c r="L22" s="144">
        <v>32456.44</v>
      </c>
      <c r="M22" s="144">
        <v>22151.21</v>
      </c>
      <c r="N22" s="144">
        <v>25042.02</v>
      </c>
      <c r="O22" s="144">
        <v>26943.439999999999</v>
      </c>
      <c r="P22" s="144">
        <v>23353.8</v>
      </c>
      <c r="Q22" s="144">
        <v>22323.86</v>
      </c>
      <c r="R22" s="256">
        <v>327290.75</v>
      </c>
      <c r="S22" s="25"/>
      <c r="T22" s="144">
        <v>50982.879999999997</v>
      </c>
      <c r="U22" s="144">
        <v>40860.83</v>
      </c>
      <c r="V22" s="144">
        <v>33296.400000000001</v>
      </c>
      <c r="W22" s="144">
        <v>30795.54</v>
      </c>
      <c r="X22" s="144">
        <v>29152.49</v>
      </c>
      <c r="Y22" s="144">
        <v>25656.25</v>
      </c>
      <c r="Z22" s="245">
        <v>210744.39</v>
      </c>
      <c r="AA22" s="24"/>
      <c r="AB22" s="266">
        <f t="shared" si="3"/>
        <v>175019.98</v>
      </c>
      <c r="AC22" s="224">
        <f t="shared" ref="AC22:AC25" si="5">+Z22-AB22</f>
        <v>35724.410000000003</v>
      </c>
      <c r="AD22" s="8">
        <f t="shared" si="4"/>
        <v>0.20411618147825181</v>
      </c>
    </row>
    <row r="23" spans="1:30" x14ac:dyDescent="0.4">
      <c r="A23" s="113"/>
      <c r="B23" s="196" t="s">
        <v>59</v>
      </c>
      <c r="C23" s="256">
        <v>173186</v>
      </c>
      <c r="D23" s="144">
        <v>14432.166666666666</v>
      </c>
      <c r="E23" s="197" t="s">
        <v>19</v>
      </c>
      <c r="F23" s="144">
        <v>11700.75</v>
      </c>
      <c r="G23" s="144">
        <v>18845.12</v>
      </c>
      <c r="H23" s="144">
        <v>20910.310000000001</v>
      </c>
      <c r="I23" s="144">
        <v>16697.060000000001</v>
      </c>
      <c r="J23" s="144">
        <v>13561.03</v>
      </c>
      <c r="K23" s="144">
        <v>16781.54</v>
      </c>
      <c r="L23" s="144">
        <v>8970.35</v>
      </c>
      <c r="M23" s="144">
        <v>11288.71</v>
      </c>
      <c r="N23" s="144">
        <v>22619.68</v>
      </c>
      <c r="O23" s="144">
        <v>16336.47</v>
      </c>
      <c r="P23" s="144">
        <v>15296.42</v>
      </c>
      <c r="Q23" s="144">
        <v>17097.34</v>
      </c>
      <c r="R23" s="256">
        <v>190104.78</v>
      </c>
      <c r="S23" s="25"/>
      <c r="T23" s="144">
        <v>15167.68</v>
      </c>
      <c r="U23" s="144">
        <v>11832.04</v>
      </c>
      <c r="V23" s="144">
        <v>19026.54</v>
      </c>
      <c r="W23" s="144">
        <v>10244.719999999999</v>
      </c>
      <c r="X23" s="144">
        <v>11377.07</v>
      </c>
      <c r="Y23" s="144">
        <v>11640.23</v>
      </c>
      <c r="Z23" s="245">
        <v>79288.28</v>
      </c>
      <c r="AA23" s="24"/>
      <c r="AB23" s="266">
        <f t="shared" si="3"/>
        <v>98495.81</v>
      </c>
      <c r="AC23" s="224">
        <f t="shared" si="5"/>
        <v>-19207.53</v>
      </c>
      <c r="AD23" s="8">
        <f t="shared" si="4"/>
        <v>-0.19500859985820715</v>
      </c>
    </row>
    <row r="24" spans="1:30" x14ac:dyDescent="0.4">
      <c r="A24" s="113"/>
      <c r="B24" s="196" t="s">
        <v>60</v>
      </c>
      <c r="C24" s="256">
        <v>489095.11</v>
      </c>
      <c r="D24" s="144">
        <v>40757.925833333335</v>
      </c>
      <c r="E24" s="197" t="s">
        <v>19</v>
      </c>
      <c r="F24" s="144">
        <v>27618.09</v>
      </c>
      <c r="G24" s="144">
        <v>53845.62</v>
      </c>
      <c r="H24" s="144">
        <v>27506.12</v>
      </c>
      <c r="I24" s="144">
        <v>33388.199999999997</v>
      </c>
      <c r="J24" s="144">
        <v>26914.98</v>
      </c>
      <c r="K24" s="144">
        <v>37449.86</v>
      </c>
      <c r="L24" s="144">
        <v>27378.35</v>
      </c>
      <c r="M24" s="144">
        <v>18397.98</v>
      </c>
      <c r="N24" s="144">
        <v>15878.49</v>
      </c>
      <c r="O24" s="144">
        <v>23462.81</v>
      </c>
      <c r="P24" s="144">
        <v>24951.24</v>
      </c>
      <c r="Q24" s="144">
        <v>39898.81</v>
      </c>
      <c r="R24" s="256">
        <v>356690.55</v>
      </c>
      <c r="S24" s="25"/>
      <c r="T24" s="144">
        <v>15137.24</v>
      </c>
      <c r="U24" s="144">
        <v>18055.46</v>
      </c>
      <c r="V24" s="144">
        <v>14391.23</v>
      </c>
      <c r="W24" s="144">
        <v>29457.56</v>
      </c>
      <c r="X24" s="144">
        <v>28421.15</v>
      </c>
      <c r="Y24" s="144">
        <v>56428.12</v>
      </c>
      <c r="Z24" s="245">
        <v>161890.76</v>
      </c>
      <c r="AA24" s="24"/>
      <c r="AB24" s="266">
        <f t="shared" si="3"/>
        <v>206722.87</v>
      </c>
      <c r="AC24" s="224">
        <f t="shared" si="5"/>
        <v>-44832.109999999986</v>
      </c>
      <c r="AD24" s="8">
        <f t="shared" si="4"/>
        <v>-0.21687058621041777</v>
      </c>
    </row>
    <row r="25" spans="1:30" x14ac:dyDescent="0.4">
      <c r="A25" s="113"/>
      <c r="B25" s="196" t="s">
        <v>61</v>
      </c>
      <c r="C25" s="257">
        <v>144038.43</v>
      </c>
      <c r="D25" s="145">
        <v>12003.202499999999</v>
      </c>
      <c r="E25" s="197" t="s">
        <v>19</v>
      </c>
      <c r="F25" s="145">
        <v>2248.75</v>
      </c>
      <c r="G25" s="145">
        <v>5782.92</v>
      </c>
      <c r="H25" s="145">
        <v>300</v>
      </c>
      <c r="I25" s="145">
        <v>2889.93</v>
      </c>
      <c r="J25" s="145">
        <v>5559.79</v>
      </c>
      <c r="K25" s="145">
        <v>3638.29</v>
      </c>
      <c r="L25" s="145"/>
      <c r="M25" s="145"/>
      <c r="N25" s="145"/>
      <c r="O25" s="145"/>
      <c r="P25" s="145"/>
      <c r="Q25" s="145"/>
      <c r="R25" s="257">
        <v>20419.68</v>
      </c>
      <c r="S25" s="25"/>
      <c r="T25" s="145"/>
      <c r="U25" s="145"/>
      <c r="V25" s="145"/>
      <c r="W25" s="145"/>
      <c r="X25" s="145"/>
      <c r="Y25" s="145"/>
      <c r="Z25" s="246"/>
      <c r="AA25" s="25"/>
      <c r="AB25" s="267">
        <f t="shared" si="3"/>
        <v>20419.68</v>
      </c>
      <c r="AC25" s="11">
        <f t="shared" si="5"/>
        <v>-20419.68</v>
      </c>
      <c r="AD25" s="12">
        <f t="shared" si="4"/>
        <v>-1</v>
      </c>
    </row>
    <row r="26" spans="1:30" x14ac:dyDescent="0.4">
      <c r="A26" s="113"/>
      <c r="B26" s="196" t="s">
        <v>62</v>
      </c>
      <c r="C26" s="257">
        <v>3251162.03</v>
      </c>
      <c r="D26" s="145">
        <v>270930.16916666669</v>
      </c>
      <c r="E26" s="197" t="s">
        <v>19</v>
      </c>
      <c r="F26" s="145">
        <v>246906.95</v>
      </c>
      <c r="G26" s="145">
        <v>281156.46000000002</v>
      </c>
      <c r="H26" s="145">
        <v>259646.85</v>
      </c>
      <c r="I26" s="145">
        <v>265521.26</v>
      </c>
      <c r="J26" s="145">
        <v>258161.83</v>
      </c>
      <c r="K26" s="145">
        <v>265577.49</v>
      </c>
      <c r="L26" s="145">
        <v>241475.74</v>
      </c>
      <c r="M26" s="145">
        <v>220256.37</v>
      </c>
      <c r="N26" s="145">
        <v>233681.24</v>
      </c>
      <c r="O26" s="145">
        <v>235494.51</v>
      </c>
      <c r="P26" s="145">
        <v>231959.69</v>
      </c>
      <c r="Q26" s="145">
        <v>247692.35</v>
      </c>
      <c r="R26" s="257">
        <v>2987530.74</v>
      </c>
      <c r="S26" s="25"/>
      <c r="T26" s="145">
        <v>269426.44</v>
      </c>
      <c r="U26" s="145">
        <v>252461.68</v>
      </c>
      <c r="V26" s="145">
        <v>251650.61</v>
      </c>
      <c r="W26" s="145">
        <v>249436.66</v>
      </c>
      <c r="X26" s="145">
        <v>209104.66</v>
      </c>
      <c r="Y26" s="145">
        <v>236046.16</v>
      </c>
      <c r="Z26" s="246">
        <v>1468126.21</v>
      </c>
      <c r="AA26" s="25"/>
      <c r="AB26" s="257">
        <f>SUM(AB20:AB25)</f>
        <v>1576970.84</v>
      </c>
      <c r="AC26" s="11">
        <f>SUM(AC20:AC25)</f>
        <v>-108844.62999999995</v>
      </c>
      <c r="AD26" s="12">
        <f t="shared" ref="AD26" si="6">+AC26/AB26</f>
        <v>-6.9021333330424761E-2</v>
      </c>
    </row>
    <row r="27" spans="1:30" x14ac:dyDescent="0.4">
      <c r="A27" s="113"/>
      <c r="B27" s="196"/>
      <c r="C27" s="256"/>
      <c r="D27" s="143"/>
      <c r="E27" s="197" t="s">
        <v>19</v>
      </c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256"/>
      <c r="S27" s="25"/>
      <c r="T27" s="143"/>
      <c r="U27" s="143"/>
      <c r="V27" s="143"/>
      <c r="W27" s="143"/>
      <c r="X27" s="143"/>
      <c r="Y27" s="143"/>
      <c r="Z27" s="245"/>
      <c r="AA27" s="115"/>
      <c r="AB27" s="256"/>
      <c r="AC27" s="4"/>
      <c r="AD27" s="5"/>
    </row>
    <row r="28" spans="1:30" x14ac:dyDescent="0.4">
      <c r="A28" s="113"/>
      <c r="B28" s="196" t="s">
        <v>63</v>
      </c>
      <c r="C28" s="256"/>
      <c r="D28" s="143"/>
      <c r="E28" s="197" t="s">
        <v>19</v>
      </c>
      <c r="F28" s="143"/>
      <c r="G28" s="143"/>
      <c r="H28" s="143"/>
      <c r="I28" s="143"/>
      <c r="J28" s="143"/>
      <c r="K28" s="143"/>
      <c r="L28" s="143"/>
      <c r="M28" s="143"/>
      <c r="N28" s="143"/>
      <c r="O28" s="143"/>
      <c r="P28" s="143"/>
      <c r="Q28" s="143"/>
      <c r="R28" s="256"/>
      <c r="S28" s="117"/>
      <c r="T28" s="143"/>
      <c r="U28" s="143"/>
      <c r="V28" s="143"/>
      <c r="W28" s="143"/>
      <c r="X28" s="143"/>
      <c r="Y28" s="143"/>
      <c r="Z28" s="245"/>
      <c r="AA28" s="115"/>
      <c r="AB28" s="256"/>
      <c r="AC28" s="4"/>
      <c r="AD28" s="5"/>
    </row>
    <row r="29" spans="1:30" x14ac:dyDescent="0.4">
      <c r="A29" s="113" t="s">
        <v>66</v>
      </c>
      <c r="B29" s="196" t="s">
        <v>67</v>
      </c>
      <c r="C29" s="256">
        <v>515655.42</v>
      </c>
      <c r="D29" s="144">
        <v>42971.285000000003</v>
      </c>
      <c r="E29" s="197" t="s">
        <v>19</v>
      </c>
      <c r="F29" s="144">
        <v>36829</v>
      </c>
      <c r="G29" s="144">
        <v>36829</v>
      </c>
      <c r="H29" s="144">
        <v>36829</v>
      </c>
      <c r="I29" s="144">
        <v>36829</v>
      </c>
      <c r="J29" s="144">
        <v>36829</v>
      </c>
      <c r="K29" s="144">
        <v>36829</v>
      </c>
      <c r="L29" s="144">
        <v>36829</v>
      </c>
      <c r="M29" s="144">
        <v>36829</v>
      </c>
      <c r="N29" s="144">
        <v>36829</v>
      </c>
      <c r="O29" s="144">
        <v>36829</v>
      </c>
      <c r="P29" s="144">
        <v>36829</v>
      </c>
      <c r="Q29" s="144">
        <v>36829</v>
      </c>
      <c r="R29" s="256">
        <v>441948</v>
      </c>
      <c r="S29" s="117"/>
      <c r="T29" s="144">
        <v>36829</v>
      </c>
      <c r="U29" s="144">
        <v>36829</v>
      </c>
      <c r="V29" s="144">
        <v>36829</v>
      </c>
      <c r="W29" s="144">
        <v>36829</v>
      </c>
      <c r="X29" s="144">
        <v>36829</v>
      </c>
      <c r="Y29" s="144">
        <v>36829</v>
      </c>
      <c r="Z29" s="245">
        <v>220974</v>
      </c>
      <c r="AA29" s="24"/>
      <c r="AB29" s="266">
        <f>SUM(F29:K29)</f>
        <v>220974</v>
      </c>
      <c r="AC29" s="224">
        <f>+Z29-AB29</f>
        <v>0</v>
      </c>
      <c r="AD29" s="8">
        <f>+AC29/AB29</f>
        <v>0</v>
      </c>
    </row>
    <row r="30" spans="1:30" x14ac:dyDescent="0.4">
      <c r="A30" s="113" t="s">
        <v>68</v>
      </c>
      <c r="B30" s="196" t="s">
        <v>69</v>
      </c>
      <c r="C30" s="257">
        <v>63830</v>
      </c>
      <c r="D30" s="145">
        <v>5319.166666666667</v>
      </c>
      <c r="E30" s="197" t="s">
        <v>19</v>
      </c>
      <c r="F30" s="145">
        <v>4910</v>
      </c>
      <c r="G30" s="145">
        <v>4910</v>
      </c>
      <c r="H30" s="145">
        <v>4910</v>
      </c>
      <c r="I30" s="145">
        <v>4910</v>
      </c>
      <c r="J30" s="145">
        <v>4910</v>
      </c>
      <c r="K30" s="145">
        <v>4910</v>
      </c>
      <c r="L30" s="145">
        <v>4910</v>
      </c>
      <c r="M30" s="145">
        <v>4910</v>
      </c>
      <c r="N30" s="145">
        <v>4910</v>
      </c>
      <c r="O30" s="145">
        <v>4910</v>
      </c>
      <c r="P30" s="145">
        <v>4910</v>
      </c>
      <c r="Q30" s="145">
        <v>4910</v>
      </c>
      <c r="R30" s="257">
        <v>58920</v>
      </c>
      <c r="S30" s="25"/>
      <c r="T30" s="145">
        <v>4910</v>
      </c>
      <c r="U30" s="145">
        <v>4910</v>
      </c>
      <c r="V30" s="145">
        <v>4910</v>
      </c>
      <c r="W30" s="145">
        <v>4910</v>
      </c>
      <c r="X30" s="145">
        <v>4910</v>
      </c>
      <c r="Y30" s="145">
        <v>4910</v>
      </c>
      <c r="Z30" s="246">
        <f>SUM(T30:Y30)</f>
        <v>29460</v>
      </c>
      <c r="AA30" s="25"/>
      <c r="AB30" s="267">
        <f>SUM(F30:K30)</f>
        <v>29460</v>
      </c>
      <c r="AC30" s="11">
        <f>+Z30-AB30</f>
        <v>0</v>
      </c>
      <c r="AD30" s="12">
        <f>+AC30/AB30</f>
        <v>0</v>
      </c>
    </row>
    <row r="31" spans="1:30" x14ac:dyDescent="0.4">
      <c r="A31" s="113"/>
      <c r="B31" s="196" t="s">
        <v>70</v>
      </c>
      <c r="C31" s="257">
        <v>579485.42000000004</v>
      </c>
      <c r="D31" s="145">
        <v>48290.451666666668</v>
      </c>
      <c r="E31" s="197" t="s">
        <v>19</v>
      </c>
      <c r="F31" s="145">
        <v>41739</v>
      </c>
      <c r="G31" s="145">
        <v>41739</v>
      </c>
      <c r="H31" s="145">
        <v>41739</v>
      </c>
      <c r="I31" s="145">
        <v>41739</v>
      </c>
      <c r="J31" s="145">
        <v>41739</v>
      </c>
      <c r="K31" s="145">
        <v>41739</v>
      </c>
      <c r="L31" s="145">
        <v>41739</v>
      </c>
      <c r="M31" s="145">
        <v>41739</v>
      </c>
      <c r="N31" s="145">
        <v>41739</v>
      </c>
      <c r="O31" s="145">
        <v>41739</v>
      </c>
      <c r="P31" s="145">
        <v>41739</v>
      </c>
      <c r="Q31" s="145">
        <v>41739</v>
      </c>
      <c r="R31" s="257">
        <v>500868</v>
      </c>
      <c r="S31" s="25"/>
      <c r="T31" s="145">
        <v>41739</v>
      </c>
      <c r="U31" s="145">
        <v>41739</v>
      </c>
      <c r="V31" s="145">
        <v>41739</v>
      </c>
      <c r="W31" s="145">
        <v>41739</v>
      </c>
      <c r="X31" s="145">
        <v>41739</v>
      </c>
      <c r="Y31" s="145">
        <f>SUM(Y29:Y30)</f>
        <v>41739</v>
      </c>
      <c r="Z31" s="246">
        <f>SUM(Z29:Z30)</f>
        <v>250434</v>
      </c>
      <c r="AA31" s="25"/>
      <c r="AB31" s="257">
        <f>SUM(AB29:AB30)</f>
        <v>250434</v>
      </c>
      <c r="AC31" s="11">
        <f>SUM(AC29:AC30)</f>
        <v>0</v>
      </c>
      <c r="AD31" s="12">
        <f>+AC31/AB31</f>
        <v>0</v>
      </c>
    </row>
    <row r="32" spans="1:30" x14ac:dyDescent="0.4">
      <c r="A32" s="113"/>
      <c r="B32" s="196"/>
      <c r="C32" s="256"/>
      <c r="D32" s="143"/>
      <c r="E32" s="197" t="s">
        <v>19</v>
      </c>
      <c r="F32" s="143"/>
      <c r="G32" s="143"/>
      <c r="H32" s="143"/>
      <c r="I32" s="143"/>
      <c r="J32" s="143"/>
      <c r="K32" s="143"/>
      <c r="L32" s="143"/>
      <c r="M32" s="143"/>
      <c r="N32" s="143"/>
      <c r="O32" s="143"/>
      <c r="P32" s="143"/>
      <c r="Q32" s="143"/>
      <c r="R32" s="256"/>
      <c r="S32" s="25"/>
      <c r="T32" s="143"/>
      <c r="U32" s="143"/>
      <c r="V32" s="143"/>
      <c r="W32" s="143"/>
      <c r="X32" s="143"/>
      <c r="Y32" s="143"/>
      <c r="Z32" s="245"/>
      <c r="AA32" s="115"/>
      <c r="AB32" s="256"/>
      <c r="AC32" s="4"/>
      <c r="AD32" s="5"/>
    </row>
    <row r="33" spans="1:30" x14ac:dyDescent="0.4">
      <c r="A33" s="113"/>
      <c r="B33" s="196" t="s">
        <v>71</v>
      </c>
      <c r="C33" s="257">
        <v>3830647.45</v>
      </c>
      <c r="D33" s="145">
        <v>319220.62083333335</v>
      </c>
      <c r="E33" s="197" t="s">
        <v>19</v>
      </c>
      <c r="F33" s="145">
        <v>288645.95</v>
      </c>
      <c r="G33" s="145">
        <v>322895.46000000002</v>
      </c>
      <c r="H33" s="145">
        <v>301385.84999999998</v>
      </c>
      <c r="I33" s="145">
        <v>307260.26</v>
      </c>
      <c r="J33" s="145">
        <v>299900.83</v>
      </c>
      <c r="K33" s="145">
        <v>307316.49</v>
      </c>
      <c r="L33" s="145">
        <v>283214.74</v>
      </c>
      <c r="M33" s="145">
        <v>261995.37</v>
      </c>
      <c r="N33" s="145">
        <v>275420.24</v>
      </c>
      <c r="O33" s="145">
        <v>277233.51</v>
      </c>
      <c r="P33" s="145">
        <v>273698.69</v>
      </c>
      <c r="Q33" s="145">
        <v>289431.34999999998</v>
      </c>
      <c r="R33" s="257">
        <v>3488398.74</v>
      </c>
      <c r="S33" s="117"/>
      <c r="T33" s="145">
        <v>311165.44</v>
      </c>
      <c r="U33" s="145">
        <v>294200.68</v>
      </c>
      <c r="V33" s="145">
        <v>293389.61</v>
      </c>
      <c r="W33" s="145">
        <v>291175.65999999997</v>
      </c>
      <c r="X33" s="145">
        <v>250843.66</v>
      </c>
      <c r="Y33" s="145">
        <f>+Y26+Y31</f>
        <v>277785.16000000003</v>
      </c>
      <c r="Z33" s="246">
        <f>+Z26+Z31</f>
        <v>1718560.21</v>
      </c>
      <c r="AA33" s="25"/>
      <c r="AB33" s="257">
        <f>SUM(F33:K33)</f>
        <v>1827404.84</v>
      </c>
      <c r="AC33" s="11">
        <f>+Z33-AB33</f>
        <v>-108844.63000000012</v>
      </c>
      <c r="AD33" s="12">
        <f>+AC33/AB33</f>
        <v>-5.9562406543697301E-2</v>
      </c>
    </row>
    <row r="34" spans="1:30" x14ac:dyDescent="0.4">
      <c r="A34" s="113"/>
      <c r="B34" s="196"/>
      <c r="C34" s="256"/>
      <c r="D34" s="143"/>
      <c r="E34" s="197" t="s">
        <v>19</v>
      </c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256"/>
      <c r="S34" s="117"/>
      <c r="T34" s="146"/>
      <c r="U34" s="146"/>
      <c r="V34" s="146"/>
      <c r="W34" s="146"/>
      <c r="X34" s="146"/>
      <c r="Y34" s="146"/>
      <c r="Z34" s="246"/>
      <c r="AA34" s="115"/>
      <c r="AB34" s="256"/>
      <c r="AC34" s="4"/>
      <c r="AD34" s="5"/>
    </row>
    <row r="35" spans="1:30" ht="15" thickBot="1" x14ac:dyDescent="0.45">
      <c r="A35" s="113"/>
      <c r="B35" s="196" t="s">
        <v>72</v>
      </c>
      <c r="C35" s="258">
        <v>-111531.73</v>
      </c>
      <c r="D35" s="187">
        <v>-9294.310833333333</v>
      </c>
      <c r="E35" s="197" t="s">
        <v>19</v>
      </c>
      <c r="F35" s="187">
        <v>132674.26999999999</v>
      </c>
      <c r="G35" s="187">
        <v>-44354.33</v>
      </c>
      <c r="H35" s="187">
        <v>-10457.01</v>
      </c>
      <c r="I35" s="187">
        <v>-171314.03</v>
      </c>
      <c r="J35" s="187">
        <v>28477.34</v>
      </c>
      <c r="K35" s="187">
        <v>-44656.42</v>
      </c>
      <c r="L35" s="187">
        <v>-161467.6</v>
      </c>
      <c r="M35" s="187">
        <v>-78801.509999999995</v>
      </c>
      <c r="N35" s="187">
        <v>33708.69</v>
      </c>
      <c r="O35" s="187">
        <v>-126388.51</v>
      </c>
      <c r="P35" s="187">
        <v>-50665.17</v>
      </c>
      <c r="Q35" s="187">
        <v>-204332.86</v>
      </c>
      <c r="R35" s="258">
        <v>-697577.14</v>
      </c>
      <c r="S35" s="25"/>
      <c r="T35" s="147">
        <v>88227.32</v>
      </c>
      <c r="U35" s="147">
        <v>-190672.45</v>
      </c>
      <c r="V35" s="147">
        <v>22559.22</v>
      </c>
      <c r="W35" s="147">
        <v>178517.25</v>
      </c>
      <c r="X35" s="147">
        <v>54511</v>
      </c>
      <c r="Y35" s="147">
        <f>+Y17-Y33</f>
        <v>-56218.250000000029</v>
      </c>
      <c r="Z35" s="249">
        <f>+Z17-Z33</f>
        <v>96924.090000000084</v>
      </c>
      <c r="AA35" s="25"/>
      <c r="AB35" s="258">
        <f>SUM(F35:K35)</f>
        <v>-109630.18000000001</v>
      </c>
      <c r="AC35" s="13">
        <f>+Z35-AB35</f>
        <v>206554.27000000008</v>
      </c>
      <c r="AD35" s="14">
        <f>+AC35/AB35</f>
        <v>-1.884100436576863</v>
      </c>
    </row>
    <row r="36" spans="1:30" ht="15" thickTop="1" x14ac:dyDescent="0.4">
      <c r="A36" s="113"/>
      <c r="B36" s="196"/>
      <c r="C36" s="256"/>
      <c r="D36" s="143"/>
      <c r="E36" s="197" t="s">
        <v>19</v>
      </c>
      <c r="F36" s="143"/>
      <c r="G36" s="143"/>
      <c r="H36" s="143"/>
      <c r="I36" s="143"/>
      <c r="J36" s="143"/>
      <c r="K36" s="143"/>
      <c r="L36" s="143"/>
      <c r="M36" s="143"/>
      <c r="N36" s="143"/>
      <c r="O36" s="143"/>
      <c r="P36" s="143"/>
      <c r="Q36" s="143"/>
      <c r="R36" s="256"/>
      <c r="S36" s="25"/>
      <c r="T36" s="143"/>
      <c r="U36" s="143"/>
      <c r="V36" s="143"/>
      <c r="W36" s="143"/>
      <c r="X36" s="143"/>
      <c r="Y36" s="143"/>
      <c r="Z36" s="245"/>
      <c r="AA36" s="115"/>
      <c r="AB36" s="256"/>
      <c r="AC36" s="4"/>
      <c r="AD36" s="5"/>
    </row>
    <row r="37" spans="1:30" x14ac:dyDescent="0.4">
      <c r="A37" s="113"/>
      <c r="B37" s="196" t="s">
        <v>73</v>
      </c>
      <c r="C37" s="256"/>
      <c r="D37" s="143"/>
      <c r="E37" s="197" t="s">
        <v>19</v>
      </c>
      <c r="F37" s="143"/>
      <c r="G37" s="143"/>
      <c r="H37" s="143"/>
      <c r="I37" s="143"/>
      <c r="J37" s="143"/>
      <c r="K37" s="143"/>
      <c r="L37" s="143"/>
      <c r="M37" s="143"/>
      <c r="N37" s="143"/>
      <c r="O37" s="143"/>
      <c r="P37" s="143"/>
      <c r="Q37" s="143"/>
      <c r="R37" s="256"/>
      <c r="S37" s="25"/>
      <c r="T37" s="143"/>
      <c r="U37" s="143"/>
      <c r="V37" s="143"/>
      <c r="W37" s="143"/>
      <c r="X37" s="143"/>
      <c r="Y37" s="143"/>
      <c r="Z37" s="245"/>
      <c r="AA37" s="115"/>
      <c r="AB37" s="256"/>
      <c r="AC37" s="4"/>
      <c r="AD37" s="5"/>
    </row>
    <row r="38" spans="1:30" x14ac:dyDescent="0.4">
      <c r="A38" s="113" t="s">
        <v>75</v>
      </c>
      <c r="B38" s="196" t="s">
        <v>74</v>
      </c>
      <c r="C38" s="256"/>
      <c r="D38" s="143"/>
      <c r="E38" s="197" t="s">
        <v>19</v>
      </c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  <c r="Q38" s="143"/>
      <c r="R38" s="256"/>
      <c r="S38" s="25"/>
      <c r="T38" s="143"/>
      <c r="U38" s="143"/>
      <c r="V38" s="143"/>
      <c r="W38" s="143"/>
      <c r="X38" s="143"/>
      <c r="Y38" s="143"/>
      <c r="Z38" s="245"/>
      <c r="AA38" s="115"/>
      <c r="AB38" s="256"/>
      <c r="AC38" s="4"/>
      <c r="AD38" s="5"/>
    </row>
    <row r="39" spans="1:30" x14ac:dyDescent="0.4">
      <c r="A39" s="113" t="s">
        <v>77</v>
      </c>
      <c r="B39" s="196" t="s">
        <v>76</v>
      </c>
      <c r="C39" s="256">
        <v>1438373.59</v>
      </c>
      <c r="D39" s="144">
        <v>119864.46583333334</v>
      </c>
      <c r="E39" s="197" t="s">
        <v>19</v>
      </c>
      <c r="F39" s="144">
        <v>134504.23000000001</v>
      </c>
      <c r="G39" s="144">
        <v>132622.93</v>
      </c>
      <c r="H39" s="144">
        <v>130982.52</v>
      </c>
      <c r="I39" s="144">
        <v>129029.59</v>
      </c>
      <c r="J39" s="144">
        <v>132165.85</v>
      </c>
      <c r="K39" s="144">
        <v>129928.4</v>
      </c>
      <c r="L39" s="144">
        <v>125400.54</v>
      </c>
      <c r="M39" s="144">
        <v>122776.74</v>
      </c>
      <c r="N39" s="144">
        <v>122745.4</v>
      </c>
      <c r="O39" s="144">
        <v>123718.47</v>
      </c>
      <c r="P39" s="144">
        <v>121838.39999999999</v>
      </c>
      <c r="Q39" s="144">
        <v>122335.57</v>
      </c>
      <c r="R39" s="256">
        <v>1528048.6399999999</v>
      </c>
      <c r="S39" s="25"/>
      <c r="T39" s="144">
        <v>140187.51999999999</v>
      </c>
      <c r="U39" s="144">
        <v>132617.54999999999</v>
      </c>
      <c r="V39" s="144">
        <v>137198.10999999999</v>
      </c>
      <c r="W39" s="144">
        <v>123089.68</v>
      </c>
      <c r="X39" s="144">
        <v>96671.66</v>
      </c>
      <c r="Y39" s="144">
        <v>104293.12</v>
      </c>
      <c r="Z39" s="245">
        <v>734057.64</v>
      </c>
      <c r="AA39" s="115"/>
      <c r="AB39" s="266">
        <f t="shared" ref="AB39:AB45" si="7">SUM(F39:K39)</f>
        <v>789233.52</v>
      </c>
      <c r="AC39" s="224">
        <f t="shared" ref="AC39:AC45" si="8">+Z35-AB39</f>
        <v>-692309.42999999993</v>
      </c>
      <c r="AD39" s="8">
        <f>+AC39/AB39</f>
        <v>-0.87719212686252845</v>
      </c>
    </row>
    <row r="40" spans="1:30" x14ac:dyDescent="0.4">
      <c r="A40" s="113" t="s">
        <v>79</v>
      </c>
      <c r="B40" s="196" t="s">
        <v>78</v>
      </c>
      <c r="C40" s="256">
        <v>116396.28</v>
      </c>
      <c r="D40" s="144">
        <v>9699.69</v>
      </c>
      <c r="E40" s="197" t="s">
        <v>19</v>
      </c>
      <c r="F40" s="144">
        <v>10287.58</v>
      </c>
      <c r="G40" s="144">
        <v>10143.69</v>
      </c>
      <c r="H40" s="144">
        <v>10018.14</v>
      </c>
      <c r="I40" s="144">
        <v>9868.74</v>
      </c>
      <c r="J40" s="144">
        <v>10108.67</v>
      </c>
      <c r="K40" s="144">
        <v>9937.5400000000009</v>
      </c>
      <c r="L40" s="144">
        <v>9591.1200000000008</v>
      </c>
      <c r="M40" s="144">
        <v>9390.41</v>
      </c>
      <c r="N40" s="144">
        <v>9388</v>
      </c>
      <c r="O40" s="144">
        <v>9462.4699999999993</v>
      </c>
      <c r="P40" s="144">
        <v>9318.61</v>
      </c>
      <c r="Q40" s="144">
        <v>9356.68</v>
      </c>
      <c r="R40" s="256">
        <v>116871.65</v>
      </c>
      <c r="S40" s="25"/>
      <c r="T40" s="144">
        <v>10722.34</v>
      </c>
      <c r="U40" s="144">
        <v>10143.23</v>
      </c>
      <c r="V40" s="144">
        <v>10493.64</v>
      </c>
      <c r="W40" s="144">
        <v>9166.02</v>
      </c>
      <c r="X40" s="144">
        <v>7140.83</v>
      </c>
      <c r="Y40" s="144">
        <v>7723.86</v>
      </c>
      <c r="Z40" s="245">
        <v>55389.919999999998</v>
      </c>
      <c r="AA40" s="115"/>
      <c r="AB40" s="266">
        <f t="shared" si="7"/>
        <v>60364.36</v>
      </c>
      <c r="AC40" s="224">
        <f t="shared" si="8"/>
        <v>-60364.36</v>
      </c>
      <c r="AD40" s="8">
        <f t="shared" ref="AD40:AD45" si="9">+AC40/AB40</f>
        <v>-1</v>
      </c>
    </row>
    <row r="41" spans="1:30" x14ac:dyDescent="0.4">
      <c r="A41" s="113" t="s">
        <v>81</v>
      </c>
      <c r="B41" s="196" t="s">
        <v>80</v>
      </c>
      <c r="C41" s="256">
        <v>15043.28</v>
      </c>
      <c r="D41" s="144">
        <v>1253.6066666666668</v>
      </c>
      <c r="E41" s="197" t="s">
        <v>19</v>
      </c>
      <c r="F41" s="144">
        <v>19.55</v>
      </c>
      <c r="G41" s="144">
        <v>31.74</v>
      </c>
      <c r="H41" s="144">
        <v>36.450000000000003</v>
      </c>
      <c r="I41" s="144">
        <v>7997.97</v>
      </c>
      <c r="J41" s="144">
        <v>5257.98</v>
      </c>
      <c r="K41" s="144">
        <v>1265.57</v>
      </c>
      <c r="L41" s="144">
        <v>369.17</v>
      </c>
      <c r="M41" s="144">
        <v>173.08</v>
      </c>
      <c r="N41" s="144">
        <v>61.37</v>
      </c>
      <c r="O41" s="143"/>
      <c r="P41" s="143"/>
      <c r="Q41" s="143"/>
      <c r="R41" s="256">
        <v>15212.88</v>
      </c>
      <c r="S41" s="25"/>
      <c r="T41" s="143"/>
      <c r="U41" s="143"/>
      <c r="V41" s="144">
        <v>32.549999999999997</v>
      </c>
      <c r="W41" s="144">
        <v>6800.15</v>
      </c>
      <c r="X41" s="144">
        <v>4145.07</v>
      </c>
      <c r="Y41" s="144">
        <v>1304.06</v>
      </c>
      <c r="Z41" s="245">
        <v>12281.83</v>
      </c>
      <c r="AA41" s="115"/>
      <c r="AB41" s="266">
        <f t="shared" si="7"/>
        <v>14609.259999999998</v>
      </c>
      <c r="AC41" s="224">
        <f t="shared" si="8"/>
        <v>-14609.259999999998</v>
      </c>
      <c r="AD41" s="8">
        <f t="shared" si="9"/>
        <v>-1</v>
      </c>
    </row>
    <row r="42" spans="1:30" x14ac:dyDescent="0.4">
      <c r="A42" s="113" t="s">
        <v>83</v>
      </c>
      <c r="B42" s="196" t="s">
        <v>82</v>
      </c>
      <c r="C42" s="256">
        <v>30983.200000000001</v>
      </c>
      <c r="D42" s="144">
        <v>2581.9333333333334</v>
      </c>
      <c r="E42" s="197" t="s">
        <v>19</v>
      </c>
      <c r="F42" s="144">
        <v>2718.11</v>
      </c>
      <c r="G42" s="144">
        <v>2680.49</v>
      </c>
      <c r="H42" s="144">
        <v>2647.68</v>
      </c>
      <c r="I42" s="144">
        <v>2580.59</v>
      </c>
      <c r="J42" s="144">
        <v>2643.31</v>
      </c>
      <c r="K42" s="144">
        <v>2598.56</v>
      </c>
      <c r="L42" s="144">
        <v>2508.0100000000002</v>
      </c>
      <c r="M42" s="144">
        <v>2483.56</v>
      </c>
      <c r="N42" s="144">
        <v>2482.94</v>
      </c>
      <c r="O42" s="144">
        <v>2502.4</v>
      </c>
      <c r="P42" s="144">
        <v>2530.09</v>
      </c>
      <c r="Q42" s="144">
        <v>2446.71</v>
      </c>
      <c r="R42" s="256">
        <v>30822.45</v>
      </c>
      <c r="S42" s="25"/>
      <c r="T42" s="144">
        <v>2803.75</v>
      </c>
      <c r="U42" s="144">
        <v>2652.35</v>
      </c>
      <c r="V42" s="144">
        <v>2771.99</v>
      </c>
      <c r="W42" s="144">
        <v>2489.8200000000002</v>
      </c>
      <c r="X42" s="144">
        <v>1933.43</v>
      </c>
      <c r="Y42" s="144">
        <v>2113.89</v>
      </c>
      <c r="Z42" s="245">
        <v>14765.23</v>
      </c>
      <c r="AA42" s="115"/>
      <c r="AB42" s="266">
        <f t="shared" si="7"/>
        <v>15868.74</v>
      </c>
      <c r="AC42" s="224">
        <f t="shared" si="8"/>
        <v>-15868.74</v>
      </c>
      <c r="AD42" s="8">
        <f t="shared" si="9"/>
        <v>-1</v>
      </c>
    </row>
    <row r="43" spans="1:30" x14ac:dyDescent="0.4">
      <c r="A43" s="113" t="s">
        <v>85</v>
      </c>
      <c r="B43" s="196" t="s">
        <v>84</v>
      </c>
      <c r="C43" s="256">
        <v>13930.07</v>
      </c>
      <c r="D43" s="144">
        <v>1160.8391666666666</v>
      </c>
      <c r="E43" s="197" t="s">
        <v>19</v>
      </c>
      <c r="F43" s="144">
        <v>1435.94</v>
      </c>
      <c r="G43" s="144">
        <v>1371.58</v>
      </c>
      <c r="H43" s="144">
        <v>1373.55</v>
      </c>
      <c r="I43" s="144">
        <v>1368.79</v>
      </c>
      <c r="J43" s="144">
        <v>1372.87</v>
      </c>
      <c r="K43" s="144">
        <v>1368.79</v>
      </c>
      <c r="L43" s="144">
        <v>1339.33</v>
      </c>
      <c r="M43" s="144">
        <v>1341.89</v>
      </c>
      <c r="N43" s="144">
        <v>1349.86</v>
      </c>
      <c r="O43" s="144">
        <v>1344.65</v>
      </c>
      <c r="P43" s="144">
        <v>1346.69</v>
      </c>
      <c r="Q43" s="144">
        <v>1358.94</v>
      </c>
      <c r="R43" s="256">
        <v>16372.88</v>
      </c>
      <c r="S43" s="25"/>
      <c r="T43" s="144">
        <v>1523.27</v>
      </c>
      <c r="U43" s="144">
        <v>1164.95</v>
      </c>
      <c r="V43" s="144">
        <v>1241.83</v>
      </c>
      <c r="W43" s="144">
        <v>1409.09</v>
      </c>
      <c r="X43" s="144">
        <v>1391.71</v>
      </c>
      <c r="Y43" s="144">
        <v>1432.22</v>
      </c>
      <c r="Z43" s="245">
        <v>8163.07</v>
      </c>
      <c r="AA43" s="24"/>
      <c r="AB43" s="266">
        <f t="shared" si="7"/>
        <v>8291.52</v>
      </c>
      <c r="AC43" s="224">
        <f t="shared" si="8"/>
        <v>725766.12</v>
      </c>
      <c r="AD43" s="8">
        <f t="shared" si="9"/>
        <v>87.531130600903083</v>
      </c>
    </row>
    <row r="44" spans="1:30" x14ac:dyDescent="0.4">
      <c r="A44" s="113" t="s">
        <v>87</v>
      </c>
      <c r="B44" s="196" t="s">
        <v>86</v>
      </c>
      <c r="C44" s="256">
        <v>351102.91</v>
      </c>
      <c r="D44" s="144">
        <v>29258.575833333332</v>
      </c>
      <c r="E44" s="197" t="s">
        <v>19</v>
      </c>
      <c r="F44" s="144">
        <v>28084.41</v>
      </c>
      <c r="G44" s="144">
        <v>30431.73</v>
      </c>
      <c r="H44" s="144">
        <v>31218.14</v>
      </c>
      <c r="I44" s="144">
        <v>31259.040000000001</v>
      </c>
      <c r="J44" s="144">
        <v>31246.38</v>
      </c>
      <c r="K44" s="144">
        <v>31255.4</v>
      </c>
      <c r="L44" s="144">
        <v>32572.43</v>
      </c>
      <c r="M44" s="144">
        <v>31362.79</v>
      </c>
      <c r="N44" s="144">
        <v>33223.480000000003</v>
      </c>
      <c r="O44" s="144">
        <v>30833.8</v>
      </c>
      <c r="P44" s="144">
        <v>32434.44</v>
      </c>
      <c r="Q44" s="144">
        <v>31984.44</v>
      </c>
      <c r="R44" s="256">
        <v>375906.48</v>
      </c>
      <c r="S44" s="117"/>
      <c r="T44" s="144">
        <v>32011.759999999998</v>
      </c>
      <c r="U44" s="144">
        <v>33535.269999999997</v>
      </c>
      <c r="V44" s="144">
        <v>32398.32</v>
      </c>
      <c r="W44" s="144">
        <v>33184.080000000002</v>
      </c>
      <c r="X44" s="144">
        <v>28071.25</v>
      </c>
      <c r="Y44" s="144">
        <v>24654.41</v>
      </c>
      <c r="Z44" s="245">
        <v>183855.09</v>
      </c>
      <c r="AA44" s="24"/>
      <c r="AB44" s="266">
        <f t="shared" si="7"/>
        <v>183495.1</v>
      </c>
      <c r="AC44" s="224">
        <f t="shared" si="8"/>
        <v>-128105.18000000001</v>
      </c>
      <c r="AD44" s="8">
        <f t="shared" si="9"/>
        <v>-0.69813951435215438</v>
      </c>
    </row>
    <row r="45" spans="1:30" x14ac:dyDescent="0.4">
      <c r="A45" s="113"/>
      <c r="B45" s="196" t="s">
        <v>88</v>
      </c>
      <c r="C45" s="257">
        <v>10430</v>
      </c>
      <c r="D45" s="145">
        <v>869.16666666666674</v>
      </c>
      <c r="E45" s="197" t="s">
        <v>19</v>
      </c>
      <c r="F45" s="146"/>
      <c r="G45" s="145">
        <v>890</v>
      </c>
      <c r="H45" s="145">
        <v>890</v>
      </c>
      <c r="I45" s="145">
        <v>890</v>
      </c>
      <c r="J45" s="145">
        <v>890</v>
      </c>
      <c r="K45" s="145">
        <v>890</v>
      </c>
      <c r="L45" s="145">
        <v>890</v>
      </c>
      <c r="M45" s="145">
        <v>890</v>
      </c>
      <c r="N45" s="145">
        <v>890</v>
      </c>
      <c r="O45" s="145">
        <v>890</v>
      </c>
      <c r="P45" s="145">
        <v>890</v>
      </c>
      <c r="Q45" s="145">
        <v>890</v>
      </c>
      <c r="R45" s="257">
        <v>9790</v>
      </c>
      <c r="S45" s="117"/>
      <c r="T45" s="145">
        <v>890</v>
      </c>
      <c r="U45" s="145">
        <v>1600</v>
      </c>
      <c r="V45" s="145">
        <v>800</v>
      </c>
      <c r="W45" s="145">
        <v>2800</v>
      </c>
      <c r="X45" s="145">
        <v>800</v>
      </c>
      <c r="Y45" s="145">
        <v>800</v>
      </c>
      <c r="Z45" s="246">
        <v>7690</v>
      </c>
      <c r="AA45" s="24"/>
      <c r="AB45" s="267">
        <f t="shared" si="7"/>
        <v>4450</v>
      </c>
      <c r="AC45" s="11">
        <f t="shared" si="8"/>
        <v>7831.83</v>
      </c>
      <c r="AD45" s="12">
        <f t="shared" si="9"/>
        <v>1.759961797752809</v>
      </c>
    </row>
    <row r="46" spans="1:30" x14ac:dyDescent="0.4">
      <c r="A46" s="113"/>
      <c r="B46" s="196" t="s">
        <v>89</v>
      </c>
      <c r="C46" s="257">
        <v>1976259.33</v>
      </c>
      <c r="D46" s="145">
        <v>164688.2775</v>
      </c>
      <c r="E46" s="197" t="s">
        <v>19</v>
      </c>
      <c r="F46" s="145">
        <v>177049.82</v>
      </c>
      <c r="G46" s="145">
        <v>178172.16</v>
      </c>
      <c r="H46" s="145">
        <v>177166.48</v>
      </c>
      <c r="I46" s="145">
        <v>182994.72</v>
      </c>
      <c r="J46" s="145">
        <v>183685.06</v>
      </c>
      <c r="K46" s="145">
        <v>177244.26</v>
      </c>
      <c r="L46" s="145">
        <v>172670.6</v>
      </c>
      <c r="M46" s="145">
        <v>168418.47</v>
      </c>
      <c r="N46" s="145">
        <v>170141.05</v>
      </c>
      <c r="O46" s="145">
        <v>168751.79</v>
      </c>
      <c r="P46" s="145">
        <v>168358.23</v>
      </c>
      <c r="Q46" s="145">
        <v>168372.34</v>
      </c>
      <c r="R46" s="257">
        <v>2093024.98</v>
      </c>
      <c r="S46" s="117"/>
      <c r="T46" s="145">
        <v>188138.64</v>
      </c>
      <c r="U46" s="145">
        <v>181713.35</v>
      </c>
      <c r="V46" s="145">
        <v>184936.44</v>
      </c>
      <c r="W46" s="145">
        <v>178938.84</v>
      </c>
      <c r="X46" s="145">
        <v>140153.95000000001</v>
      </c>
      <c r="Y46" s="145">
        <v>142321.56</v>
      </c>
      <c r="Z46" s="246">
        <v>1016202.78</v>
      </c>
      <c r="AA46" s="24"/>
      <c r="AB46" s="257">
        <f>SUM(AB39:AB45)</f>
        <v>1076312.5</v>
      </c>
      <c r="AC46" s="145">
        <f>SUM(AC39:AC45)</f>
        <v>-177659.01999999993</v>
      </c>
      <c r="AD46" s="12">
        <f t="shared" ref="AD46:AD101" si="10">+AC46/AB46</f>
        <v>-0.1650626746414261</v>
      </c>
    </row>
    <row r="47" spans="1:30" x14ac:dyDescent="0.4">
      <c r="A47" s="113"/>
      <c r="B47" s="196"/>
      <c r="C47" s="256"/>
      <c r="D47" s="143"/>
      <c r="E47" s="197" t="s">
        <v>19</v>
      </c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3"/>
      <c r="Q47" s="143"/>
      <c r="R47" s="256"/>
      <c r="S47" s="117"/>
      <c r="T47" s="143"/>
      <c r="U47" s="143"/>
      <c r="V47" s="143"/>
      <c r="W47" s="143"/>
      <c r="X47" s="143"/>
      <c r="Y47" s="143"/>
      <c r="Z47" s="245"/>
      <c r="AA47" s="24"/>
      <c r="AB47" s="256"/>
      <c r="AC47" s="4"/>
      <c r="AD47" s="5"/>
    </row>
    <row r="48" spans="1:30" x14ac:dyDescent="0.4">
      <c r="A48" s="113"/>
      <c r="B48" s="196" t="s">
        <v>57</v>
      </c>
      <c r="C48" s="256"/>
      <c r="D48" s="143"/>
      <c r="E48" s="197" t="s">
        <v>19</v>
      </c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3"/>
      <c r="Q48" s="143"/>
      <c r="R48" s="256"/>
      <c r="S48" s="25"/>
      <c r="T48" s="143"/>
      <c r="U48" s="143"/>
      <c r="V48" s="143"/>
      <c r="W48" s="143"/>
      <c r="X48" s="143"/>
      <c r="Y48" s="143"/>
      <c r="Z48" s="245"/>
      <c r="AA48" s="24"/>
      <c r="AB48" s="256"/>
      <c r="AC48" s="4"/>
      <c r="AD48" s="5"/>
    </row>
    <row r="49" spans="1:30" x14ac:dyDescent="0.4">
      <c r="A49" s="113"/>
      <c r="B49" s="196"/>
      <c r="C49" s="256"/>
      <c r="D49" s="143"/>
      <c r="E49" s="197" t="s">
        <v>19</v>
      </c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3"/>
      <c r="Q49" s="143"/>
      <c r="R49" s="256"/>
      <c r="S49" s="25"/>
      <c r="T49" s="143"/>
      <c r="U49" s="143"/>
      <c r="V49" s="143"/>
      <c r="W49" s="143"/>
      <c r="X49" s="143"/>
      <c r="Y49" s="143"/>
      <c r="Z49" s="245"/>
      <c r="AA49" s="25"/>
      <c r="AB49" s="256"/>
      <c r="AC49" s="4"/>
      <c r="AD49" s="5"/>
    </row>
    <row r="50" spans="1:30" x14ac:dyDescent="0.4">
      <c r="A50" s="113" t="s">
        <v>97</v>
      </c>
      <c r="B50" s="196" t="s">
        <v>96</v>
      </c>
      <c r="C50" s="256"/>
      <c r="D50" s="143"/>
      <c r="E50" s="197" t="s">
        <v>19</v>
      </c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3"/>
      <c r="Q50" s="143"/>
      <c r="R50" s="256"/>
      <c r="S50" s="117"/>
      <c r="T50" s="143"/>
      <c r="U50" s="143"/>
      <c r="V50" s="143"/>
      <c r="W50" s="143"/>
      <c r="X50" s="143"/>
      <c r="Y50" s="143"/>
      <c r="Z50" s="245"/>
      <c r="AA50" s="25"/>
      <c r="AB50" s="256"/>
      <c r="AC50" s="4"/>
      <c r="AD50" s="5"/>
    </row>
    <row r="51" spans="1:30" x14ac:dyDescent="0.4">
      <c r="A51" s="113"/>
      <c r="B51" s="196" t="s">
        <v>98</v>
      </c>
      <c r="C51" s="257">
        <v>68932.98</v>
      </c>
      <c r="D51" s="145">
        <v>5744.415</v>
      </c>
      <c r="E51" s="197" t="s">
        <v>19</v>
      </c>
      <c r="F51" s="146"/>
      <c r="G51" s="146"/>
      <c r="H51" s="146"/>
      <c r="I51" s="146"/>
      <c r="J51" s="146"/>
      <c r="K51" s="146"/>
      <c r="L51" s="146"/>
      <c r="M51" s="146"/>
      <c r="N51" s="146"/>
      <c r="O51" s="146"/>
      <c r="P51" s="146"/>
      <c r="Q51" s="146"/>
      <c r="R51" s="257"/>
      <c r="S51" s="25"/>
      <c r="T51" s="234"/>
      <c r="U51" s="234"/>
      <c r="V51" s="234"/>
      <c r="W51" s="234"/>
      <c r="X51" s="234"/>
      <c r="Y51" s="234"/>
      <c r="Z51" s="248"/>
      <c r="AA51" s="115"/>
      <c r="AB51" s="257">
        <f>SUM(F51:K51)</f>
        <v>0</v>
      </c>
      <c r="AC51" s="11">
        <f>+Z51-AB51</f>
        <v>0</v>
      </c>
      <c r="AD51" s="5" t="e">
        <f t="shared" si="10"/>
        <v>#DIV/0!</v>
      </c>
    </row>
    <row r="52" spans="1:30" x14ac:dyDescent="0.4">
      <c r="A52" s="113"/>
      <c r="B52" s="196" t="s">
        <v>101</v>
      </c>
      <c r="C52" s="257">
        <v>68932.98</v>
      </c>
      <c r="D52" s="145">
        <v>5744.415</v>
      </c>
      <c r="E52" s="197" t="s">
        <v>19</v>
      </c>
      <c r="F52" s="145"/>
      <c r="G52" s="145"/>
      <c r="H52" s="145"/>
      <c r="I52" s="145"/>
      <c r="J52" s="145"/>
      <c r="K52" s="145"/>
      <c r="L52" s="145"/>
      <c r="M52" s="145"/>
      <c r="N52" s="145"/>
      <c r="O52" s="145"/>
      <c r="P52" s="145"/>
      <c r="Q52" s="145"/>
      <c r="R52" s="257"/>
      <c r="S52" s="117"/>
      <c r="T52" s="234"/>
      <c r="U52" s="234"/>
      <c r="V52" s="234"/>
      <c r="W52" s="234"/>
      <c r="X52" s="234"/>
      <c r="Y52" s="234"/>
      <c r="Z52" s="248"/>
      <c r="AA52" s="115"/>
      <c r="AB52" s="257">
        <f>SUM(AB51)</f>
        <v>0</v>
      </c>
      <c r="AC52" s="145">
        <f>SUM(AC51)</f>
        <v>0</v>
      </c>
      <c r="AD52" s="10" t="e">
        <f t="shared" si="10"/>
        <v>#DIV/0!</v>
      </c>
    </row>
    <row r="53" spans="1:30" x14ac:dyDescent="0.4">
      <c r="A53" s="113"/>
      <c r="B53" s="196"/>
      <c r="C53" s="256"/>
      <c r="D53" s="143"/>
      <c r="E53" s="197" t="s">
        <v>19</v>
      </c>
      <c r="F53" s="143"/>
      <c r="G53" s="143"/>
      <c r="H53" s="143"/>
      <c r="I53" s="143"/>
      <c r="J53" s="143"/>
      <c r="K53" s="143"/>
      <c r="L53" s="143"/>
      <c r="M53" s="143"/>
      <c r="N53" s="143"/>
      <c r="O53" s="143"/>
      <c r="P53" s="143"/>
      <c r="Q53" s="143"/>
      <c r="R53" s="256"/>
      <c r="S53" s="117"/>
      <c r="T53" s="143"/>
      <c r="U53" s="143"/>
      <c r="V53" s="143"/>
      <c r="W53" s="143"/>
      <c r="X53" s="143"/>
      <c r="Y53" s="143"/>
      <c r="Z53" s="245"/>
      <c r="AA53" s="115"/>
      <c r="AB53" s="256"/>
      <c r="AC53" s="4"/>
      <c r="AD53" s="5"/>
    </row>
    <row r="54" spans="1:30" x14ac:dyDescent="0.4">
      <c r="A54" s="113"/>
      <c r="B54" s="196" t="s">
        <v>102</v>
      </c>
      <c r="C54" s="257">
        <v>68932.98</v>
      </c>
      <c r="D54" s="145">
        <v>5744.415</v>
      </c>
      <c r="E54" s="197" t="s">
        <v>19</v>
      </c>
      <c r="F54" s="145"/>
      <c r="G54" s="145"/>
      <c r="H54" s="145"/>
      <c r="I54" s="145"/>
      <c r="J54" s="145"/>
      <c r="K54" s="145"/>
      <c r="L54" s="145"/>
      <c r="M54" s="145"/>
      <c r="N54" s="145"/>
      <c r="O54" s="145"/>
      <c r="P54" s="145"/>
      <c r="Q54" s="145"/>
      <c r="R54" s="257"/>
      <c r="S54" s="25"/>
      <c r="T54" s="234"/>
      <c r="U54" s="234"/>
      <c r="V54" s="234"/>
      <c r="W54" s="234"/>
      <c r="X54" s="234"/>
      <c r="Y54" s="234"/>
      <c r="Z54" s="248"/>
      <c r="AA54" s="115"/>
      <c r="AB54" s="257">
        <f>SUM(F54:H54)</f>
        <v>0</v>
      </c>
      <c r="AC54" s="11">
        <f>+Z54-AB54</f>
        <v>0</v>
      </c>
      <c r="AD54" s="12" t="e">
        <f t="shared" si="10"/>
        <v>#DIV/0!</v>
      </c>
    </row>
    <row r="55" spans="1:30" x14ac:dyDescent="0.4">
      <c r="A55" s="113"/>
      <c r="B55" s="196"/>
      <c r="C55" s="256"/>
      <c r="D55" s="143"/>
      <c r="E55" s="197" t="s">
        <v>19</v>
      </c>
      <c r="F55" s="143"/>
      <c r="G55" s="143"/>
      <c r="H55" s="143"/>
      <c r="I55" s="143"/>
      <c r="J55" s="143"/>
      <c r="K55" s="143"/>
      <c r="L55" s="143"/>
      <c r="M55" s="143"/>
      <c r="N55" s="143"/>
      <c r="O55" s="143"/>
      <c r="P55" s="143"/>
      <c r="Q55" s="143"/>
      <c r="R55" s="256"/>
      <c r="S55" s="25"/>
      <c r="T55" s="143"/>
      <c r="U55" s="143"/>
      <c r="V55" s="143"/>
      <c r="W55" s="143"/>
      <c r="X55" s="143"/>
      <c r="Y55" s="143"/>
      <c r="Z55" s="245"/>
      <c r="AA55" s="117"/>
      <c r="AB55" s="256"/>
      <c r="AC55" s="4"/>
      <c r="AD55" s="5"/>
    </row>
    <row r="56" spans="1:30" x14ac:dyDescent="0.4">
      <c r="A56" s="113" t="s">
        <v>104</v>
      </c>
      <c r="B56" s="196" t="s">
        <v>103</v>
      </c>
      <c r="C56" s="256"/>
      <c r="D56" s="143"/>
      <c r="E56" s="197" t="s">
        <v>19</v>
      </c>
      <c r="F56" s="143"/>
      <c r="G56" s="143"/>
      <c r="H56" s="143"/>
      <c r="I56" s="143"/>
      <c r="J56" s="143"/>
      <c r="K56" s="143"/>
      <c r="L56" s="143"/>
      <c r="M56" s="143"/>
      <c r="N56" s="143"/>
      <c r="O56" s="143"/>
      <c r="P56" s="143"/>
      <c r="Q56" s="143"/>
      <c r="R56" s="256"/>
      <c r="S56" s="25"/>
      <c r="T56" s="143"/>
      <c r="U56" s="143"/>
      <c r="V56" s="143"/>
      <c r="W56" s="143"/>
      <c r="X56" s="143"/>
      <c r="Y56" s="143"/>
      <c r="Z56" s="245"/>
      <c r="AA56" s="25"/>
      <c r="AB56" s="256"/>
      <c r="AC56" s="4"/>
      <c r="AD56" s="5"/>
    </row>
    <row r="57" spans="1:30" x14ac:dyDescent="0.4">
      <c r="A57" s="113" t="s">
        <v>110</v>
      </c>
      <c r="B57" s="196" t="s">
        <v>105</v>
      </c>
      <c r="C57" s="256">
        <v>112827.59</v>
      </c>
      <c r="D57" s="144">
        <v>9402.2991666666676</v>
      </c>
      <c r="E57" s="197" t="s">
        <v>19</v>
      </c>
      <c r="F57" s="144">
        <v>8833.09</v>
      </c>
      <c r="G57" s="144">
        <v>9915.7199999999993</v>
      </c>
      <c r="H57" s="144">
        <v>9975.36</v>
      </c>
      <c r="I57" s="144">
        <v>10820.01</v>
      </c>
      <c r="J57" s="144">
        <v>11922.52</v>
      </c>
      <c r="K57" s="144">
        <v>15796</v>
      </c>
      <c r="L57" s="144">
        <v>11995.91</v>
      </c>
      <c r="M57" s="144">
        <v>11828.17</v>
      </c>
      <c r="N57" s="144">
        <v>12081.58</v>
      </c>
      <c r="O57" s="144">
        <v>11123.64</v>
      </c>
      <c r="P57" s="144">
        <v>11527.3</v>
      </c>
      <c r="Q57" s="144">
        <v>11538.33</v>
      </c>
      <c r="R57" s="256">
        <v>137357.63</v>
      </c>
      <c r="S57" s="25"/>
      <c r="T57" s="144">
        <v>12457.3</v>
      </c>
      <c r="U57" s="144">
        <v>11254.32</v>
      </c>
      <c r="V57" s="144">
        <v>6579.25</v>
      </c>
      <c r="W57" s="144">
        <v>7585.27</v>
      </c>
      <c r="X57" s="144">
        <v>9771.26</v>
      </c>
      <c r="Y57" s="144">
        <v>9615.66</v>
      </c>
      <c r="Z57" s="245">
        <v>57263.06</v>
      </c>
      <c r="AA57" s="115"/>
      <c r="AB57" s="266">
        <f t="shared" ref="AB57:AB74" si="11">SUM(F57:K57)</f>
        <v>67262.7</v>
      </c>
      <c r="AC57" s="224">
        <f>+Z57-AB57</f>
        <v>-9999.64</v>
      </c>
      <c r="AD57" s="8">
        <f t="shared" si="10"/>
        <v>-0.14866545648628438</v>
      </c>
    </row>
    <row r="58" spans="1:30" x14ac:dyDescent="0.4">
      <c r="A58" s="113" t="s">
        <v>112</v>
      </c>
      <c r="B58" s="196" t="s">
        <v>111</v>
      </c>
      <c r="C58" s="256">
        <v>5596.37</v>
      </c>
      <c r="D58" s="144">
        <v>466.36416666666668</v>
      </c>
      <c r="E58" s="197" t="s">
        <v>19</v>
      </c>
      <c r="F58" s="143"/>
      <c r="G58" s="143"/>
      <c r="H58" s="143"/>
      <c r="I58" s="144">
        <v>2717.09</v>
      </c>
      <c r="J58" s="143"/>
      <c r="K58" s="143"/>
      <c r="L58" s="143"/>
      <c r="M58" s="143"/>
      <c r="N58" s="144">
        <v>2139.67</v>
      </c>
      <c r="O58" s="143"/>
      <c r="P58" s="143"/>
      <c r="Q58" s="144">
        <v>1489.68</v>
      </c>
      <c r="R58" s="256">
        <v>6346.44</v>
      </c>
      <c r="S58" s="25"/>
      <c r="T58" s="144">
        <v>743.87</v>
      </c>
      <c r="U58" s="144">
        <v>935.88</v>
      </c>
      <c r="V58" s="144">
        <v>167.66</v>
      </c>
      <c r="W58" s="143"/>
      <c r="X58" s="144">
        <v>802.62</v>
      </c>
      <c r="Y58" s="144">
        <v>1344.85</v>
      </c>
      <c r="Z58" s="245">
        <v>3994.88</v>
      </c>
      <c r="AA58" s="25"/>
      <c r="AB58" s="266">
        <f t="shared" si="11"/>
        <v>2717.09</v>
      </c>
      <c r="AC58" s="224">
        <f t="shared" ref="AC58:AC74" si="12">+Z58-AB58</f>
        <v>1277.79</v>
      </c>
      <c r="AD58" s="8">
        <f t="shared" ref="AD58:AD74" si="13">+AC58/AB58</f>
        <v>0.470278864520498</v>
      </c>
    </row>
    <row r="59" spans="1:30" x14ac:dyDescent="0.4">
      <c r="A59" s="113" t="s">
        <v>114</v>
      </c>
      <c r="B59" s="196" t="s">
        <v>113</v>
      </c>
      <c r="C59" s="256">
        <v>8380.65</v>
      </c>
      <c r="D59" s="144">
        <v>698.38750000000005</v>
      </c>
      <c r="E59" s="197" t="s">
        <v>19</v>
      </c>
      <c r="F59" s="144">
        <v>797.85</v>
      </c>
      <c r="G59" s="144">
        <v>797.85</v>
      </c>
      <c r="H59" s="143"/>
      <c r="I59" s="143"/>
      <c r="J59" s="144">
        <v>797.85</v>
      </c>
      <c r="K59" s="144">
        <v>797.85</v>
      </c>
      <c r="L59" s="144">
        <v>797.85</v>
      </c>
      <c r="M59" s="144">
        <v>797.85</v>
      </c>
      <c r="N59" s="144">
        <v>797.85</v>
      </c>
      <c r="O59" s="143"/>
      <c r="P59" s="144">
        <v>1595.7</v>
      </c>
      <c r="Q59" s="144">
        <v>797.85</v>
      </c>
      <c r="R59" s="256">
        <v>7978.5</v>
      </c>
      <c r="S59" s="117"/>
      <c r="T59" s="144">
        <v>3875</v>
      </c>
      <c r="U59" s="143"/>
      <c r="V59" s="143"/>
      <c r="W59" s="143"/>
      <c r="X59" s="143"/>
      <c r="Y59" s="143"/>
      <c r="Z59" s="245">
        <v>3875</v>
      </c>
      <c r="AA59" s="115"/>
      <c r="AB59" s="266">
        <f t="shared" si="11"/>
        <v>3191.4</v>
      </c>
      <c r="AC59" s="224">
        <f t="shared" si="12"/>
        <v>683.59999999999991</v>
      </c>
      <c r="AD59" s="8">
        <f t="shared" si="13"/>
        <v>0.21420066428526663</v>
      </c>
    </row>
    <row r="60" spans="1:30" x14ac:dyDescent="0.4">
      <c r="A60" s="113" t="s">
        <v>116</v>
      </c>
      <c r="B60" s="196" t="s">
        <v>115</v>
      </c>
      <c r="C60" s="256">
        <v>33850.32</v>
      </c>
      <c r="D60" s="144">
        <v>2820.86</v>
      </c>
      <c r="E60" s="197" t="s">
        <v>19</v>
      </c>
      <c r="F60" s="144">
        <v>6827.58</v>
      </c>
      <c r="G60" s="144">
        <v>2716.28</v>
      </c>
      <c r="H60" s="144">
        <v>5763.44</v>
      </c>
      <c r="I60" s="144">
        <v>1730.2</v>
      </c>
      <c r="J60" s="144">
        <v>5804.84</v>
      </c>
      <c r="K60" s="144">
        <v>3434.52</v>
      </c>
      <c r="L60" s="143"/>
      <c r="M60" s="144">
        <v>832.16</v>
      </c>
      <c r="N60" s="144">
        <v>1530</v>
      </c>
      <c r="O60" s="144">
        <v>624.12</v>
      </c>
      <c r="P60" s="144">
        <v>759.12</v>
      </c>
      <c r="Q60" s="144">
        <v>90</v>
      </c>
      <c r="R60" s="256">
        <v>30112.26</v>
      </c>
      <c r="S60" s="25"/>
      <c r="T60" s="144">
        <v>2288.44</v>
      </c>
      <c r="U60" s="144">
        <v>2998.56</v>
      </c>
      <c r="V60" s="144">
        <v>3416.58</v>
      </c>
      <c r="W60" s="144">
        <v>90</v>
      </c>
      <c r="X60" s="143"/>
      <c r="Y60" s="144">
        <v>844</v>
      </c>
      <c r="Z60" s="245">
        <v>9637.58</v>
      </c>
      <c r="AA60" s="115"/>
      <c r="AB60" s="266">
        <f t="shared" si="11"/>
        <v>26276.86</v>
      </c>
      <c r="AC60" s="224">
        <f t="shared" si="12"/>
        <v>-16639.28</v>
      </c>
      <c r="AD60" s="8">
        <f t="shared" si="13"/>
        <v>-0.63322938889958691</v>
      </c>
    </row>
    <row r="61" spans="1:30" x14ac:dyDescent="0.4">
      <c r="A61" s="113"/>
      <c r="B61" s="196" t="s">
        <v>117</v>
      </c>
      <c r="C61" s="256">
        <v>10530.16</v>
      </c>
      <c r="D61" s="144">
        <v>877.51333333333332</v>
      </c>
      <c r="E61" s="197" t="s">
        <v>19</v>
      </c>
      <c r="F61" s="143"/>
      <c r="G61" s="143"/>
      <c r="H61" s="144">
        <v>687.5</v>
      </c>
      <c r="I61" s="143"/>
      <c r="J61" s="144"/>
      <c r="K61" s="144"/>
      <c r="L61" s="144"/>
      <c r="M61" s="144"/>
      <c r="N61" s="144"/>
      <c r="O61" s="144">
        <v>350</v>
      </c>
      <c r="P61" s="143"/>
      <c r="Q61" s="143"/>
      <c r="R61" s="256">
        <v>1037.5</v>
      </c>
      <c r="S61" s="25"/>
      <c r="T61" s="144">
        <v>8950</v>
      </c>
      <c r="U61" s="144">
        <v>10600</v>
      </c>
      <c r="V61" s="144">
        <v>12000</v>
      </c>
      <c r="W61" s="144">
        <v>8750</v>
      </c>
      <c r="X61" s="144">
        <v>5400</v>
      </c>
      <c r="Y61" s="144">
        <v>3550</v>
      </c>
      <c r="Z61" s="245">
        <v>49250</v>
      </c>
      <c r="AA61" s="24"/>
      <c r="AB61" s="266">
        <f t="shared" si="11"/>
        <v>687.5</v>
      </c>
      <c r="AC61" s="224">
        <f t="shared" si="12"/>
        <v>48562.5</v>
      </c>
      <c r="AD61" s="8">
        <f t="shared" si="13"/>
        <v>70.63636363636364</v>
      </c>
    </row>
    <row r="62" spans="1:30" x14ac:dyDescent="0.4">
      <c r="A62" s="113"/>
      <c r="B62" s="196" t="s">
        <v>127</v>
      </c>
      <c r="C62" s="256">
        <v>6284.59</v>
      </c>
      <c r="D62" s="144">
        <v>523.71583333333331</v>
      </c>
      <c r="E62" s="197" t="s">
        <v>19</v>
      </c>
      <c r="F62" s="144">
        <v>694.43</v>
      </c>
      <c r="G62" s="143"/>
      <c r="H62" s="143"/>
      <c r="I62" s="143"/>
      <c r="J62" s="143"/>
      <c r="K62" s="143"/>
      <c r="L62" s="143"/>
      <c r="M62" s="143"/>
      <c r="N62" s="143"/>
      <c r="O62" s="143"/>
      <c r="P62" s="143"/>
      <c r="Q62" s="143"/>
      <c r="R62" s="256">
        <v>694.43</v>
      </c>
      <c r="S62" s="25"/>
      <c r="T62" s="144">
        <v>2776.38</v>
      </c>
      <c r="U62" s="144">
        <v>587.20000000000005</v>
      </c>
      <c r="V62" s="144">
        <v>587.20000000000005</v>
      </c>
      <c r="W62" s="144">
        <v>587.20000000000005</v>
      </c>
      <c r="X62" s="144">
        <v>587.20000000000005</v>
      </c>
      <c r="Y62" s="144">
        <v>587.20000000000005</v>
      </c>
      <c r="Z62" s="245">
        <v>5712.38</v>
      </c>
      <c r="AA62" s="24"/>
      <c r="AB62" s="266">
        <f t="shared" si="11"/>
        <v>694.43</v>
      </c>
      <c r="AC62" s="224">
        <f t="shared" si="12"/>
        <v>5017.95</v>
      </c>
      <c r="AD62" s="8">
        <f t="shared" si="13"/>
        <v>7.2259983007646564</v>
      </c>
    </row>
    <row r="63" spans="1:30" x14ac:dyDescent="0.4">
      <c r="A63" s="113" t="s">
        <v>126</v>
      </c>
      <c r="B63" s="196" t="s">
        <v>129</v>
      </c>
      <c r="C63" s="256">
        <v>28885.24</v>
      </c>
      <c r="D63" s="144">
        <v>2407.1033333333335</v>
      </c>
      <c r="E63" s="197" t="s">
        <v>19</v>
      </c>
      <c r="F63" s="144">
        <v>1032.98</v>
      </c>
      <c r="G63" s="144">
        <v>1283.17</v>
      </c>
      <c r="H63" s="144">
        <v>1216.24</v>
      </c>
      <c r="I63" s="144">
        <v>1169.97</v>
      </c>
      <c r="J63" s="144">
        <v>1102.49</v>
      </c>
      <c r="K63" s="144">
        <v>1336.1</v>
      </c>
      <c r="L63" s="144">
        <v>1375.75</v>
      </c>
      <c r="M63" s="144">
        <v>1130.8</v>
      </c>
      <c r="N63" s="144">
        <v>1069.31</v>
      </c>
      <c r="O63" s="144">
        <v>1357.35</v>
      </c>
      <c r="P63" s="144">
        <v>1435.4</v>
      </c>
      <c r="Q63" s="144">
        <v>1547.46</v>
      </c>
      <c r="R63" s="256">
        <v>15057.02</v>
      </c>
      <c r="S63" s="25"/>
      <c r="T63" s="144">
        <v>1317.44</v>
      </c>
      <c r="U63" s="144">
        <v>1287.3</v>
      </c>
      <c r="V63" s="144">
        <v>1500.92</v>
      </c>
      <c r="W63" s="144">
        <v>2098.85</v>
      </c>
      <c r="X63" s="144">
        <v>1812.44</v>
      </c>
      <c r="Y63" s="144">
        <v>1446.36</v>
      </c>
      <c r="Z63" s="245">
        <v>9463.31</v>
      </c>
      <c r="AA63" s="24"/>
      <c r="AB63" s="266">
        <f t="shared" si="11"/>
        <v>7140.9500000000007</v>
      </c>
      <c r="AC63" s="224">
        <f t="shared" si="12"/>
        <v>2322.3599999999988</v>
      </c>
      <c r="AD63" s="8">
        <f t="shared" si="13"/>
        <v>0.32521723300121114</v>
      </c>
    </row>
    <row r="64" spans="1:30" x14ac:dyDescent="0.4">
      <c r="A64" s="113" t="s">
        <v>128</v>
      </c>
      <c r="B64" s="196" t="s">
        <v>131</v>
      </c>
      <c r="C64" s="256">
        <v>450.75</v>
      </c>
      <c r="D64" s="144">
        <v>37.5625</v>
      </c>
      <c r="E64" s="197" t="s">
        <v>19</v>
      </c>
      <c r="F64" s="143"/>
      <c r="G64" s="143"/>
      <c r="H64" s="143"/>
      <c r="I64" s="143"/>
      <c r="J64" s="143"/>
      <c r="K64" s="143"/>
      <c r="L64" s="143"/>
      <c r="M64" s="143"/>
      <c r="N64" s="143"/>
      <c r="O64" s="143"/>
      <c r="P64" s="143"/>
      <c r="Q64" s="143"/>
      <c r="R64" s="256"/>
      <c r="S64" s="25"/>
      <c r="T64" s="143"/>
      <c r="U64" s="143"/>
      <c r="V64" s="143"/>
      <c r="W64" s="143"/>
      <c r="X64" s="143"/>
      <c r="Y64" s="143"/>
      <c r="Z64" s="245"/>
      <c r="AA64" s="24"/>
      <c r="AB64" s="266">
        <f t="shared" si="11"/>
        <v>0</v>
      </c>
      <c r="AC64" s="224">
        <f t="shared" si="12"/>
        <v>0</v>
      </c>
      <c r="AD64" s="8" t="e">
        <f t="shared" si="13"/>
        <v>#DIV/0!</v>
      </c>
    </row>
    <row r="65" spans="1:30" x14ac:dyDescent="0.4">
      <c r="A65" s="113" t="s">
        <v>130</v>
      </c>
      <c r="B65" s="196" t="s">
        <v>133</v>
      </c>
      <c r="C65" s="256">
        <v>16931.54</v>
      </c>
      <c r="D65" s="144">
        <v>1410.9616666666666</v>
      </c>
      <c r="E65" s="197" t="s">
        <v>19</v>
      </c>
      <c r="F65" s="144">
        <v>866.43</v>
      </c>
      <c r="G65" s="144">
        <v>292.08</v>
      </c>
      <c r="H65" s="144">
        <v>1780.44</v>
      </c>
      <c r="I65" s="144">
        <v>191.59</v>
      </c>
      <c r="J65" s="144">
        <v>956.76</v>
      </c>
      <c r="K65" s="144">
        <v>572.48</v>
      </c>
      <c r="L65" s="144">
        <v>20</v>
      </c>
      <c r="M65" s="144">
        <v>20</v>
      </c>
      <c r="N65" s="143"/>
      <c r="O65" s="143"/>
      <c r="P65" s="143"/>
      <c r="Q65" s="143"/>
      <c r="R65" s="256">
        <v>4699.78</v>
      </c>
      <c r="S65" s="25"/>
      <c r="T65" s="143"/>
      <c r="U65" s="143"/>
      <c r="V65" s="143"/>
      <c r="W65" s="143"/>
      <c r="X65" s="143"/>
      <c r="Y65" s="143"/>
      <c r="Z65" s="245"/>
      <c r="AA65" s="24"/>
      <c r="AB65" s="266">
        <f t="shared" si="11"/>
        <v>4659.7800000000007</v>
      </c>
      <c r="AC65" s="224">
        <f t="shared" si="12"/>
        <v>-4659.7800000000007</v>
      </c>
      <c r="AD65" s="8">
        <f t="shared" si="13"/>
        <v>-1</v>
      </c>
    </row>
    <row r="66" spans="1:30" x14ac:dyDescent="0.4">
      <c r="A66" s="113" t="s">
        <v>132</v>
      </c>
      <c r="B66" s="196" t="s">
        <v>135</v>
      </c>
      <c r="C66" s="256">
        <v>23156.74</v>
      </c>
      <c r="D66" s="144">
        <v>1929.7283333333332</v>
      </c>
      <c r="E66" s="197" t="s">
        <v>19</v>
      </c>
      <c r="F66" s="144">
        <v>2002.64</v>
      </c>
      <c r="G66" s="144">
        <v>1072.1600000000001</v>
      </c>
      <c r="H66" s="144">
        <v>2207.1999999999998</v>
      </c>
      <c r="I66" s="144">
        <v>964.58</v>
      </c>
      <c r="J66" s="144">
        <v>1065.3599999999999</v>
      </c>
      <c r="K66" s="144">
        <v>1232.06</v>
      </c>
      <c r="L66" s="144">
        <v>876.78</v>
      </c>
      <c r="M66" s="144">
        <v>584.54</v>
      </c>
      <c r="N66" s="144">
        <v>188.97</v>
      </c>
      <c r="O66" s="144">
        <v>376.62</v>
      </c>
      <c r="P66" s="144">
        <v>408.1</v>
      </c>
      <c r="Q66" s="144">
        <v>141.51</v>
      </c>
      <c r="R66" s="256">
        <v>11120.52</v>
      </c>
      <c r="S66" s="25"/>
      <c r="T66" s="144">
        <v>505.37</v>
      </c>
      <c r="U66" s="144">
        <v>433.3</v>
      </c>
      <c r="V66" s="144">
        <v>716.27</v>
      </c>
      <c r="W66" s="144">
        <v>422.79</v>
      </c>
      <c r="X66" s="144">
        <v>385.78</v>
      </c>
      <c r="Y66" s="144">
        <v>78.260000000000005</v>
      </c>
      <c r="Z66" s="245">
        <v>2541.77</v>
      </c>
      <c r="AA66" s="115"/>
      <c r="AB66" s="266">
        <f t="shared" si="11"/>
        <v>8544</v>
      </c>
      <c r="AC66" s="224">
        <f t="shared" si="12"/>
        <v>-6002.23</v>
      </c>
      <c r="AD66" s="8">
        <f t="shared" si="13"/>
        <v>-0.7025081928838951</v>
      </c>
    </row>
    <row r="67" spans="1:30" x14ac:dyDescent="0.4">
      <c r="A67" s="113" t="s">
        <v>134</v>
      </c>
      <c r="B67" s="196" t="s">
        <v>137</v>
      </c>
      <c r="C67" s="256">
        <v>11599.46</v>
      </c>
      <c r="D67" s="144">
        <v>966.62166666666667</v>
      </c>
      <c r="E67" s="197" t="s">
        <v>19</v>
      </c>
      <c r="F67" s="143"/>
      <c r="G67" s="143"/>
      <c r="H67" s="143"/>
      <c r="I67" s="143"/>
      <c r="J67" s="143"/>
      <c r="K67" s="143"/>
      <c r="L67" s="143"/>
      <c r="M67" s="144">
        <v>1440</v>
      </c>
      <c r="N67" s="143"/>
      <c r="O67" s="143"/>
      <c r="P67" s="143"/>
      <c r="Q67" s="143"/>
      <c r="R67" s="256">
        <v>1440</v>
      </c>
      <c r="S67" s="25"/>
      <c r="T67" s="144">
        <v>62.19</v>
      </c>
      <c r="U67" s="144">
        <v>190</v>
      </c>
      <c r="V67" s="143"/>
      <c r="W67" s="143"/>
      <c r="X67" s="143"/>
      <c r="Y67" s="143"/>
      <c r="Z67" s="245">
        <v>252.19</v>
      </c>
      <c r="AA67" s="24"/>
      <c r="AB67" s="266">
        <f t="shared" si="11"/>
        <v>0</v>
      </c>
      <c r="AC67" s="224">
        <f t="shared" si="12"/>
        <v>252.19</v>
      </c>
      <c r="AD67" s="8" t="e">
        <f t="shared" si="13"/>
        <v>#DIV/0!</v>
      </c>
    </row>
    <row r="68" spans="1:30" x14ac:dyDescent="0.4">
      <c r="A68" s="113" t="s">
        <v>136</v>
      </c>
      <c r="B68" s="196" t="s">
        <v>139</v>
      </c>
      <c r="C68" s="256">
        <v>10582.21</v>
      </c>
      <c r="D68" s="144">
        <v>881.8508333333333</v>
      </c>
      <c r="E68" s="197" t="s">
        <v>19</v>
      </c>
      <c r="F68" s="143"/>
      <c r="G68" s="143"/>
      <c r="H68" s="143"/>
      <c r="I68" s="143"/>
      <c r="J68" s="144">
        <v>557.41999999999996</v>
      </c>
      <c r="K68" s="143"/>
      <c r="L68" s="144">
        <v>272.64999999999998</v>
      </c>
      <c r="M68" s="144">
        <v>137.63</v>
      </c>
      <c r="N68" s="144">
        <v>1032.5999999999999</v>
      </c>
      <c r="O68" s="143"/>
      <c r="P68" s="143"/>
      <c r="Q68" s="143"/>
      <c r="R68" s="256">
        <v>2000.3</v>
      </c>
      <c r="S68" s="25"/>
      <c r="T68" s="143"/>
      <c r="U68" s="144">
        <v>458.39</v>
      </c>
      <c r="V68" s="143"/>
      <c r="W68" s="144">
        <v>368.82</v>
      </c>
      <c r="X68" s="144">
        <v>557.41999999999996</v>
      </c>
      <c r="Y68" s="143"/>
      <c r="Z68" s="245">
        <v>1384.63</v>
      </c>
      <c r="AA68" s="24"/>
      <c r="AB68" s="266">
        <f t="shared" si="11"/>
        <v>557.41999999999996</v>
      </c>
      <c r="AC68" s="224">
        <f t="shared" si="12"/>
        <v>827.21000000000015</v>
      </c>
      <c r="AD68" s="8">
        <f t="shared" si="13"/>
        <v>1.4839977037063619</v>
      </c>
    </row>
    <row r="69" spans="1:30" x14ac:dyDescent="0.4">
      <c r="A69" s="113" t="s">
        <v>138</v>
      </c>
      <c r="B69" s="196" t="s">
        <v>143</v>
      </c>
      <c r="C69" s="256">
        <v>25662.3</v>
      </c>
      <c r="D69" s="144">
        <v>2138.5250000000001</v>
      </c>
      <c r="E69" s="197" t="s">
        <v>19</v>
      </c>
      <c r="F69" s="144">
        <v>593.82000000000005</v>
      </c>
      <c r="G69" s="144">
        <v>593.82000000000005</v>
      </c>
      <c r="H69" s="144">
        <v>6217.66</v>
      </c>
      <c r="I69" s="144">
        <v>6352.34</v>
      </c>
      <c r="J69" s="144">
        <v>1048.44</v>
      </c>
      <c r="K69" s="144">
        <v>736.18</v>
      </c>
      <c r="L69" s="144">
        <v>6494.7</v>
      </c>
      <c r="M69" s="144">
        <v>736.18</v>
      </c>
      <c r="N69" s="144">
        <v>736.18</v>
      </c>
      <c r="O69" s="144">
        <v>6494.7</v>
      </c>
      <c r="P69" s="144">
        <v>736.17</v>
      </c>
      <c r="Q69" s="144">
        <v>736.17</v>
      </c>
      <c r="R69" s="256">
        <v>31476.36</v>
      </c>
      <c r="S69" s="25"/>
      <c r="T69" s="144">
        <v>6437.11</v>
      </c>
      <c r="U69" s="144">
        <v>2650.64</v>
      </c>
      <c r="V69" s="144">
        <v>736.17</v>
      </c>
      <c r="W69" s="144">
        <v>4053.94</v>
      </c>
      <c r="X69" s="144">
        <v>941.99</v>
      </c>
      <c r="Y69" s="144">
        <v>750.4</v>
      </c>
      <c r="Z69" s="245">
        <v>15570.25</v>
      </c>
      <c r="AA69" s="115"/>
      <c r="AB69" s="266">
        <f t="shared" si="11"/>
        <v>15542.26</v>
      </c>
      <c r="AC69" s="224">
        <f t="shared" si="12"/>
        <v>27.989999999999782</v>
      </c>
      <c r="AD69" s="8">
        <f t="shared" si="13"/>
        <v>1.8008963947327983E-3</v>
      </c>
    </row>
    <row r="70" spans="1:30" x14ac:dyDescent="0.4">
      <c r="A70" s="113" t="s">
        <v>142</v>
      </c>
      <c r="B70" s="196" t="s">
        <v>145</v>
      </c>
      <c r="C70" s="256">
        <v>3296</v>
      </c>
      <c r="D70" s="144">
        <v>274.66666666666669</v>
      </c>
      <c r="E70" s="197" t="s">
        <v>19</v>
      </c>
      <c r="F70" s="144">
        <v>273</v>
      </c>
      <c r="G70" s="144">
        <v>273</v>
      </c>
      <c r="H70" s="144">
        <v>289</v>
      </c>
      <c r="I70" s="144">
        <v>281</v>
      </c>
      <c r="J70" s="144">
        <v>281</v>
      </c>
      <c r="K70" s="144">
        <v>281</v>
      </c>
      <c r="L70" s="144">
        <v>281</v>
      </c>
      <c r="M70" s="144">
        <v>281</v>
      </c>
      <c r="N70" s="144">
        <v>281</v>
      </c>
      <c r="O70" s="144">
        <v>281</v>
      </c>
      <c r="P70" s="144">
        <v>281</v>
      </c>
      <c r="Q70" s="144">
        <v>281</v>
      </c>
      <c r="R70" s="256">
        <v>3364</v>
      </c>
      <c r="S70" s="25"/>
      <c r="T70" s="144">
        <v>281</v>
      </c>
      <c r="U70" s="144">
        <v>281</v>
      </c>
      <c r="V70" s="144">
        <v>281</v>
      </c>
      <c r="W70" s="144">
        <v>281</v>
      </c>
      <c r="X70" s="144">
        <v>281</v>
      </c>
      <c r="Y70" s="144">
        <v>281</v>
      </c>
      <c r="Z70" s="245">
        <v>1686</v>
      </c>
      <c r="AA70" s="24"/>
      <c r="AB70" s="266">
        <f t="shared" si="11"/>
        <v>1678</v>
      </c>
      <c r="AC70" s="224">
        <f t="shared" si="12"/>
        <v>8</v>
      </c>
      <c r="AD70" s="8">
        <f t="shared" si="13"/>
        <v>4.7675804529201428E-3</v>
      </c>
    </row>
    <row r="71" spans="1:30" x14ac:dyDescent="0.4">
      <c r="A71" s="113" t="s">
        <v>144</v>
      </c>
      <c r="B71" s="196" t="s">
        <v>147</v>
      </c>
      <c r="C71" s="256">
        <v>43357.08</v>
      </c>
      <c r="D71" s="144">
        <v>3613.09</v>
      </c>
      <c r="E71" s="197" t="s">
        <v>19</v>
      </c>
      <c r="F71" s="144">
        <v>4501.9799999999996</v>
      </c>
      <c r="G71" s="144">
        <v>3733.86</v>
      </c>
      <c r="H71" s="144">
        <v>3338.63</v>
      </c>
      <c r="I71" s="144">
        <v>3461.85</v>
      </c>
      <c r="J71" s="144">
        <v>3115.89</v>
      </c>
      <c r="K71" s="144">
        <v>3193.09</v>
      </c>
      <c r="L71" s="144">
        <v>3042.17</v>
      </c>
      <c r="M71" s="144">
        <v>2711.36</v>
      </c>
      <c r="N71" s="144">
        <v>3351.9</v>
      </c>
      <c r="O71" s="144">
        <v>3291.63</v>
      </c>
      <c r="P71" s="144">
        <v>3347.15</v>
      </c>
      <c r="Q71" s="144">
        <v>3749.4</v>
      </c>
      <c r="R71" s="256">
        <v>40838.910000000003</v>
      </c>
      <c r="S71" s="25"/>
      <c r="T71" s="144">
        <v>3952.09</v>
      </c>
      <c r="U71" s="144">
        <v>3438.41</v>
      </c>
      <c r="V71" s="144">
        <v>3081.38</v>
      </c>
      <c r="W71" s="144">
        <v>3369.43</v>
      </c>
      <c r="X71" s="144">
        <v>2815.82</v>
      </c>
      <c r="Y71" s="144">
        <v>2992.03</v>
      </c>
      <c r="Z71" s="245">
        <v>19649.16</v>
      </c>
      <c r="AA71" s="24"/>
      <c r="AB71" s="266">
        <f t="shared" si="11"/>
        <v>21345.300000000003</v>
      </c>
      <c r="AC71" s="224">
        <f t="shared" si="12"/>
        <v>-1696.1400000000031</v>
      </c>
      <c r="AD71" s="8">
        <f t="shared" si="13"/>
        <v>-7.9461989290382562E-2</v>
      </c>
    </row>
    <row r="72" spans="1:30" x14ac:dyDescent="0.4">
      <c r="A72" s="113" t="s">
        <v>146</v>
      </c>
      <c r="B72" s="196" t="s">
        <v>149</v>
      </c>
      <c r="C72" s="256">
        <v>44652.55</v>
      </c>
      <c r="D72" s="144">
        <v>3721.0458333333331</v>
      </c>
      <c r="E72" s="197" t="s">
        <v>19</v>
      </c>
      <c r="F72" s="144">
        <v>1865.74</v>
      </c>
      <c r="G72" s="144">
        <v>3832.7</v>
      </c>
      <c r="H72" s="144">
        <v>2288.4699999999998</v>
      </c>
      <c r="I72" s="144">
        <v>1862.72</v>
      </c>
      <c r="J72" s="144">
        <v>1788.4</v>
      </c>
      <c r="K72" s="144">
        <v>3084.26</v>
      </c>
      <c r="L72" s="144">
        <v>7299.63</v>
      </c>
      <c r="M72" s="144">
        <v>1651.52</v>
      </c>
      <c r="N72" s="144">
        <v>1832.96</v>
      </c>
      <c r="O72" s="144">
        <v>3044.38</v>
      </c>
      <c r="P72" s="144">
        <v>3263.86</v>
      </c>
      <c r="Q72" s="144">
        <v>1952.46</v>
      </c>
      <c r="R72" s="256">
        <v>33767.1</v>
      </c>
      <c r="S72" s="25"/>
      <c r="T72" s="144">
        <v>7336.69</v>
      </c>
      <c r="U72" s="144">
        <v>5745.83</v>
      </c>
      <c r="V72" s="144">
        <v>4229.97</v>
      </c>
      <c r="W72" s="144">
        <v>3188.24</v>
      </c>
      <c r="X72" s="144">
        <v>5796.96</v>
      </c>
      <c r="Y72" s="144">
        <v>4166.49</v>
      </c>
      <c r="Z72" s="245">
        <v>30464.18</v>
      </c>
      <c r="AA72" s="24"/>
      <c r="AB72" s="266">
        <f t="shared" si="11"/>
        <v>14722.289999999999</v>
      </c>
      <c r="AC72" s="224">
        <f t="shared" si="12"/>
        <v>15741.890000000001</v>
      </c>
      <c r="AD72" s="8">
        <f t="shared" si="13"/>
        <v>1.0692555302198232</v>
      </c>
    </row>
    <row r="73" spans="1:30" x14ac:dyDescent="0.4">
      <c r="A73" s="113" t="s">
        <v>148</v>
      </c>
      <c r="B73" s="196" t="s">
        <v>151</v>
      </c>
      <c r="C73" s="256">
        <v>26.61</v>
      </c>
      <c r="D73" s="144">
        <v>2.2174999999999998</v>
      </c>
      <c r="E73" s="197" t="s">
        <v>19</v>
      </c>
      <c r="F73" s="143"/>
      <c r="G73" s="143"/>
      <c r="H73" s="143"/>
      <c r="I73" s="143"/>
      <c r="J73" s="143"/>
      <c r="K73" s="143"/>
      <c r="L73" s="143"/>
      <c r="M73" s="143"/>
      <c r="N73" s="143"/>
      <c r="O73" s="143"/>
      <c r="P73" s="143"/>
      <c r="Q73" s="143"/>
      <c r="R73" s="256"/>
      <c r="S73" s="25"/>
      <c r="T73" s="143"/>
      <c r="U73" s="143"/>
      <c r="V73" s="143"/>
      <c r="W73" s="143"/>
      <c r="X73" s="143"/>
      <c r="Y73" s="143"/>
      <c r="Z73" s="245"/>
      <c r="AA73" s="24"/>
      <c r="AB73" s="266">
        <f t="shared" si="11"/>
        <v>0</v>
      </c>
      <c r="AC73" s="224">
        <f t="shared" si="12"/>
        <v>0</v>
      </c>
      <c r="AD73" s="8" t="e">
        <f t="shared" si="13"/>
        <v>#DIV/0!</v>
      </c>
    </row>
    <row r="74" spans="1:30" x14ac:dyDescent="0.4">
      <c r="A74" s="113" t="s">
        <v>150</v>
      </c>
      <c r="B74" s="196" t="s">
        <v>153</v>
      </c>
      <c r="C74" s="257">
        <v>13580.02</v>
      </c>
      <c r="D74" s="145">
        <v>1131.6683333333333</v>
      </c>
      <c r="E74" s="197" t="s">
        <v>19</v>
      </c>
      <c r="F74" s="146"/>
      <c r="G74" s="146"/>
      <c r="H74" s="146"/>
      <c r="I74" s="146"/>
      <c r="J74" s="146"/>
      <c r="K74" s="146"/>
      <c r="L74" s="146"/>
      <c r="M74" s="146"/>
      <c r="N74" s="146"/>
      <c r="O74" s="146"/>
      <c r="P74" s="146"/>
      <c r="Q74" s="146"/>
      <c r="R74" s="257"/>
      <c r="S74" s="117"/>
      <c r="T74" s="146"/>
      <c r="U74" s="146"/>
      <c r="V74" s="146"/>
      <c r="W74" s="146"/>
      <c r="X74" s="146"/>
      <c r="Y74" s="146"/>
      <c r="Z74" s="246"/>
      <c r="AA74" s="24"/>
      <c r="AB74" s="267">
        <f t="shared" si="11"/>
        <v>0</v>
      </c>
      <c r="AC74" s="11">
        <f t="shared" si="12"/>
        <v>0</v>
      </c>
      <c r="AD74" s="12" t="e">
        <f t="shared" si="13"/>
        <v>#DIV/0!</v>
      </c>
    </row>
    <row r="75" spans="1:30" x14ac:dyDescent="0.4">
      <c r="A75" s="113" t="s">
        <v>152</v>
      </c>
      <c r="B75" s="196" t="s">
        <v>154</v>
      </c>
      <c r="C75" s="257">
        <v>399650.18</v>
      </c>
      <c r="D75" s="145">
        <v>33304.181666666664</v>
      </c>
      <c r="E75" s="197" t="s">
        <v>19</v>
      </c>
      <c r="F75" s="145">
        <v>28289.54</v>
      </c>
      <c r="G75" s="145">
        <v>24510.639999999999</v>
      </c>
      <c r="H75" s="145">
        <v>33763.94</v>
      </c>
      <c r="I75" s="145">
        <v>29551.35</v>
      </c>
      <c r="J75" s="145">
        <v>28440.97</v>
      </c>
      <c r="K75" s="145">
        <v>30463.54</v>
      </c>
      <c r="L75" s="145">
        <v>32456.44</v>
      </c>
      <c r="M75" s="145">
        <v>22151.21</v>
      </c>
      <c r="N75" s="145">
        <v>25042.02</v>
      </c>
      <c r="O75" s="145">
        <v>26943.439999999999</v>
      </c>
      <c r="P75" s="145">
        <v>23353.8</v>
      </c>
      <c r="Q75" s="145">
        <v>22323.86</v>
      </c>
      <c r="R75" s="257">
        <v>327290.75</v>
      </c>
      <c r="S75" s="117"/>
      <c r="T75" s="145">
        <v>50982.879999999997</v>
      </c>
      <c r="U75" s="145">
        <v>40860.83</v>
      </c>
      <c r="V75" s="145">
        <v>33296.400000000001</v>
      </c>
      <c r="W75" s="145">
        <v>30795.54</v>
      </c>
      <c r="X75" s="145">
        <v>29152.49</v>
      </c>
      <c r="Y75" s="145">
        <v>25656.25</v>
      </c>
      <c r="Z75" s="246">
        <v>210744.39</v>
      </c>
      <c r="AA75" s="24"/>
      <c r="AB75" s="257">
        <f>SUM(AB57:AB74)</f>
        <v>175019.98</v>
      </c>
      <c r="AC75" s="145">
        <f>SUM(AC57:AC74)</f>
        <v>35724.409999999996</v>
      </c>
      <c r="AD75" s="12">
        <f t="shared" si="10"/>
        <v>0.20411618147825175</v>
      </c>
    </row>
    <row r="76" spans="1:30" x14ac:dyDescent="0.4">
      <c r="A76" s="113"/>
      <c r="B76" s="196"/>
      <c r="C76" s="256"/>
      <c r="D76" s="143"/>
      <c r="E76" s="197" t="s">
        <v>19</v>
      </c>
      <c r="F76" s="143"/>
      <c r="G76" s="143"/>
      <c r="H76" s="143"/>
      <c r="I76" s="143"/>
      <c r="J76" s="143"/>
      <c r="K76" s="143"/>
      <c r="L76" s="143"/>
      <c r="M76" s="143"/>
      <c r="N76" s="143"/>
      <c r="O76" s="143"/>
      <c r="P76" s="143"/>
      <c r="Q76" s="143"/>
      <c r="R76" s="256"/>
      <c r="S76" s="25"/>
      <c r="T76" s="143"/>
      <c r="U76" s="143"/>
      <c r="V76" s="143"/>
      <c r="W76" s="143"/>
      <c r="X76" s="143"/>
      <c r="Y76" s="143"/>
      <c r="Z76" s="245"/>
      <c r="AA76" s="24"/>
      <c r="AB76" s="256"/>
      <c r="AC76" s="4"/>
      <c r="AD76" s="5"/>
    </row>
    <row r="77" spans="1:30" x14ac:dyDescent="0.4">
      <c r="A77" s="113"/>
      <c r="B77" s="196" t="s">
        <v>59</v>
      </c>
      <c r="C77" s="256"/>
      <c r="D77" s="143"/>
      <c r="E77" s="197" t="s">
        <v>19</v>
      </c>
      <c r="F77" s="143"/>
      <c r="G77" s="143"/>
      <c r="H77" s="143"/>
      <c r="I77" s="143"/>
      <c r="J77" s="143"/>
      <c r="K77" s="143"/>
      <c r="L77" s="143"/>
      <c r="M77" s="143"/>
      <c r="N77" s="143"/>
      <c r="O77" s="143"/>
      <c r="P77" s="143"/>
      <c r="Q77" s="143"/>
      <c r="R77" s="256"/>
      <c r="S77" s="25"/>
      <c r="T77" s="143"/>
      <c r="U77" s="143"/>
      <c r="V77" s="143"/>
      <c r="W77" s="143"/>
      <c r="X77" s="143"/>
      <c r="Y77" s="143"/>
      <c r="Z77" s="245"/>
      <c r="AA77" s="24"/>
      <c r="AB77" s="256"/>
      <c r="AC77" s="4"/>
      <c r="AD77" s="5"/>
    </row>
    <row r="78" spans="1:30" x14ac:dyDescent="0.4">
      <c r="A78" s="113"/>
      <c r="B78" s="196" t="s">
        <v>156</v>
      </c>
      <c r="C78" s="256">
        <v>6332.25</v>
      </c>
      <c r="D78" s="144">
        <v>527.6875</v>
      </c>
      <c r="E78" s="197" t="s">
        <v>19</v>
      </c>
      <c r="F78" s="144">
        <v>645.6</v>
      </c>
      <c r="G78" s="144">
        <v>806.77</v>
      </c>
      <c r="H78" s="144">
        <v>395</v>
      </c>
      <c r="I78" s="144">
        <v>542.66</v>
      </c>
      <c r="J78" s="144">
        <v>542.66</v>
      </c>
      <c r="K78" s="144">
        <v>550.17999999999995</v>
      </c>
      <c r="L78" s="144">
        <v>550.29</v>
      </c>
      <c r="M78" s="144">
        <v>550.29</v>
      </c>
      <c r="N78" s="144">
        <v>705.58</v>
      </c>
      <c r="O78" s="144">
        <v>547.97</v>
      </c>
      <c r="P78" s="144">
        <v>551.11</v>
      </c>
      <c r="Q78" s="144">
        <v>521.26</v>
      </c>
      <c r="R78" s="256">
        <v>6909.37</v>
      </c>
      <c r="S78" s="117"/>
      <c r="T78" s="144">
        <v>650.96</v>
      </c>
      <c r="U78" s="144">
        <v>395</v>
      </c>
      <c r="V78" s="144">
        <v>776.44</v>
      </c>
      <c r="W78" s="144">
        <v>395</v>
      </c>
      <c r="X78" s="144">
        <v>585.33000000000004</v>
      </c>
      <c r="Y78" s="144">
        <v>585.33000000000004</v>
      </c>
      <c r="Z78" s="245">
        <v>3388.06</v>
      </c>
      <c r="AA78" s="117"/>
      <c r="AB78" s="266">
        <f t="shared" ref="AB78:AB85" si="14">SUM(F78:K78)</f>
        <v>3482.8699999999994</v>
      </c>
      <c r="AC78" s="224">
        <f>+Z78-AB78</f>
        <v>-94.809999999999491</v>
      </c>
      <c r="AD78" s="8">
        <f t="shared" si="10"/>
        <v>-2.7221802708685509E-2</v>
      </c>
    </row>
    <row r="79" spans="1:30" x14ac:dyDescent="0.4">
      <c r="A79" s="113" t="s">
        <v>155</v>
      </c>
      <c r="B79" s="196" t="s">
        <v>158</v>
      </c>
      <c r="C79" s="256">
        <v>14490</v>
      </c>
      <c r="D79" s="144">
        <v>1207.5</v>
      </c>
      <c r="E79" s="197" t="s">
        <v>19</v>
      </c>
      <c r="F79" s="143"/>
      <c r="G79" s="143"/>
      <c r="H79" s="144">
        <v>4135</v>
      </c>
      <c r="I79" s="143"/>
      <c r="J79" s="143"/>
      <c r="K79" s="144">
        <v>4135</v>
      </c>
      <c r="L79" s="143"/>
      <c r="M79" s="143"/>
      <c r="N79" s="144">
        <v>3101.25</v>
      </c>
      <c r="O79" s="143"/>
      <c r="P79" s="143"/>
      <c r="Q79" s="143"/>
      <c r="R79" s="256">
        <v>11371.25</v>
      </c>
      <c r="S79" s="25"/>
      <c r="T79" s="143"/>
      <c r="U79" s="143"/>
      <c r="V79" s="143"/>
      <c r="W79" s="143"/>
      <c r="X79" s="143"/>
      <c r="Y79" s="143"/>
      <c r="Z79" s="245"/>
      <c r="AA79" s="25"/>
      <c r="AB79" s="266">
        <f t="shared" si="14"/>
        <v>8270</v>
      </c>
      <c r="AC79" s="224">
        <f t="shared" ref="AC79:AC85" si="15">+Z79-AB79</f>
        <v>-8270</v>
      </c>
      <c r="AD79" s="8">
        <f t="shared" ref="AD79:AD85" si="16">+AC79/AB79</f>
        <v>-1</v>
      </c>
    </row>
    <row r="80" spans="1:30" x14ac:dyDescent="0.4">
      <c r="A80" s="113" t="s">
        <v>157</v>
      </c>
      <c r="B80" s="196" t="s">
        <v>162</v>
      </c>
      <c r="C80" s="256"/>
      <c r="D80" s="144"/>
      <c r="E80" s="197" t="s">
        <v>19</v>
      </c>
      <c r="F80" s="143"/>
      <c r="G80" s="143"/>
      <c r="H80" s="143"/>
      <c r="I80" s="143"/>
      <c r="J80" s="143"/>
      <c r="K80" s="143"/>
      <c r="L80" s="143"/>
      <c r="M80" s="143"/>
      <c r="N80" s="144">
        <v>3275</v>
      </c>
      <c r="O80" s="143"/>
      <c r="P80" s="143"/>
      <c r="Q80" s="143"/>
      <c r="R80" s="256">
        <v>3275</v>
      </c>
      <c r="S80" s="25"/>
      <c r="T80" s="143"/>
      <c r="U80" s="143"/>
      <c r="V80" s="143"/>
      <c r="W80" s="143"/>
      <c r="X80" s="143"/>
      <c r="Y80" s="143"/>
      <c r="Z80" s="245"/>
      <c r="AA80" s="115"/>
      <c r="AB80" s="266">
        <f t="shared" si="14"/>
        <v>0</v>
      </c>
      <c r="AC80" s="224">
        <f t="shared" si="15"/>
        <v>0</v>
      </c>
      <c r="AD80" s="8" t="e">
        <f t="shared" si="16"/>
        <v>#DIV/0!</v>
      </c>
    </row>
    <row r="81" spans="1:30" x14ac:dyDescent="0.4">
      <c r="A81" s="113" t="s">
        <v>163</v>
      </c>
      <c r="B81" s="196" t="s">
        <v>164</v>
      </c>
      <c r="C81" s="256">
        <v>1000</v>
      </c>
      <c r="D81" s="144">
        <v>83.3333333333333</v>
      </c>
      <c r="E81" s="197" t="s">
        <v>19</v>
      </c>
      <c r="F81" s="143"/>
      <c r="G81" s="143"/>
      <c r="H81" s="143"/>
      <c r="I81" s="143"/>
      <c r="J81" s="143"/>
      <c r="K81" s="143"/>
      <c r="L81" s="143"/>
      <c r="M81" s="143"/>
      <c r="N81" s="143"/>
      <c r="O81" s="143"/>
      <c r="P81" s="143"/>
      <c r="Q81" s="143"/>
      <c r="R81" s="256"/>
      <c r="S81" s="25"/>
      <c r="T81" s="143"/>
      <c r="U81" s="143"/>
      <c r="V81" s="143"/>
      <c r="W81" s="143"/>
      <c r="X81" s="143"/>
      <c r="Y81" s="143"/>
      <c r="Z81" s="245"/>
      <c r="AA81" s="115"/>
      <c r="AB81" s="266">
        <f t="shared" si="14"/>
        <v>0</v>
      </c>
      <c r="AC81" s="224">
        <f t="shared" si="15"/>
        <v>0</v>
      </c>
      <c r="AD81" s="8" t="e">
        <f t="shared" si="16"/>
        <v>#DIV/0!</v>
      </c>
    </row>
    <row r="82" spans="1:30" x14ac:dyDescent="0.4">
      <c r="A82" s="113" t="s">
        <v>165</v>
      </c>
      <c r="B82" s="196" t="s">
        <v>166</v>
      </c>
      <c r="C82" s="256">
        <v>63182.27</v>
      </c>
      <c r="D82" s="144">
        <v>5265.189166666667</v>
      </c>
      <c r="E82" s="197" t="s">
        <v>19</v>
      </c>
      <c r="F82" s="144">
        <v>90.63</v>
      </c>
      <c r="G82" s="144">
        <v>9043.14</v>
      </c>
      <c r="H82" s="144">
        <v>8017.13</v>
      </c>
      <c r="I82" s="144">
        <v>8160.39</v>
      </c>
      <c r="J82" s="144">
        <v>4772.2700000000004</v>
      </c>
      <c r="K82" s="144">
        <v>5016.45</v>
      </c>
      <c r="L82" s="144">
        <v>685.92</v>
      </c>
      <c r="M82" s="144">
        <v>2638.1</v>
      </c>
      <c r="N82" s="144">
        <v>6161.52</v>
      </c>
      <c r="O82" s="144">
        <v>4808.97</v>
      </c>
      <c r="P82" s="144">
        <v>2318.56</v>
      </c>
      <c r="Q82" s="144">
        <v>4834.54</v>
      </c>
      <c r="R82" s="256">
        <v>56547.62</v>
      </c>
      <c r="S82" s="117"/>
      <c r="T82" s="144">
        <v>2604.7600000000002</v>
      </c>
      <c r="U82" s="144">
        <v>585.5</v>
      </c>
      <c r="V82" s="144">
        <v>3813.6</v>
      </c>
      <c r="W82" s="144">
        <v>526.62</v>
      </c>
      <c r="X82" s="144">
        <v>967.95</v>
      </c>
      <c r="Y82" s="144">
        <v>1777.35</v>
      </c>
      <c r="Z82" s="245">
        <v>10275.780000000001</v>
      </c>
      <c r="AA82" s="24"/>
      <c r="AB82" s="266">
        <f t="shared" si="14"/>
        <v>35100.009999999995</v>
      </c>
      <c r="AC82" s="224">
        <f t="shared" si="15"/>
        <v>-24824.229999999996</v>
      </c>
      <c r="AD82" s="8">
        <f t="shared" si="16"/>
        <v>-0.70724281844933945</v>
      </c>
    </row>
    <row r="83" spans="1:30" x14ac:dyDescent="0.4">
      <c r="A83" s="113" t="s">
        <v>167</v>
      </c>
      <c r="B83" s="196" t="s">
        <v>168</v>
      </c>
      <c r="C83" s="256">
        <v>7404.92</v>
      </c>
      <c r="D83" s="144">
        <v>617.07666666666671</v>
      </c>
      <c r="E83" s="197" t="s">
        <v>19</v>
      </c>
      <c r="F83" s="144">
        <v>199</v>
      </c>
      <c r="G83" s="144">
        <v>199</v>
      </c>
      <c r="H83" s="144">
        <v>199</v>
      </c>
      <c r="I83" s="144">
        <v>199</v>
      </c>
      <c r="J83" s="144">
        <v>199</v>
      </c>
      <c r="K83" s="144">
        <v>199</v>
      </c>
      <c r="L83" s="144">
        <v>199</v>
      </c>
      <c r="M83" s="144">
        <v>199</v>
      </c>
      <c r="N83" s="144">
        <v>199</v>
      </c>
      <c r="O83" s="144">
        <v>958.95</v>
      </c>
      <c r="P83" s="144">
        <v>555.04999999999995</v>
      </c>
      <c r="Q83" s="144">
        <v>555.04999999999995</v>
      </c>
      <c r="R83" s="256">
        <v>3860.05</v>
      </c>
      <c r="S83" s="25"/>
      <c r="T83" s="144">
        <v>555.04999999999995</v>
      </c>
      <c r="U83" s="144">
        <v>609.91999999999996</v>
      </c>
      <c r="V83" s="144">
        <v>699.95</v>
      </c>
      <c r="W83" s="144">
        <v>769.56</v>
      </c>
      <c r="X83" s="144">
        <v>937.21</v>
      </c>
      <c r="Y83" s="144">
        <v>430.58</v>
      </c>
      <c r="Z83" s="245">
        <v>4002.27</v>
      </c>
      <c r="AA83" s="24"/>
      <c r="AB83" s="266">
        <f t="shared" si="14"/>
        <v>1194</v>
      </c>
      <c r="AC83" s="224">
        <f t="shared" si="15"/>
        <v>2808.27</v>
      </c>
      <c r="AD83" s="8">
        <f t="shared" si="16"/>
        <v>2.3519849246231157</v>
      </c>
    </row>
    <row r="84" spans="1:30" x14ac:dyDescent="0.4">
      <c r="A84" s="113"/>
      <c r="B84" s="196" t="s">
        <v>172</v>
      </c>
      <c r="C84" s="256">
        <v>22177.19</v>
      </c>
      <c r="D84" s="144">
        <v>1848.0991666666666</v>
      </c>
      <c r="E84" s="197" t="s">
        <v>19</v>
      </c>
      <c r="F84" s="144">
        <v>2478.6999999999998</v>
      </c>
      <c r="G84" s="144">
        <v>1901.85</v>
      </c>
      <c r="H84" s="144">
        <v>1901.85</v>
      </c>
      <c r="I84" s="144">
        <v>1919.16</v>
      </c>
      <c r="J84" s="144">
        <v>1919.16</v>
      </c>
      <c r="K84" s="144">
        <v>1919.16</v>
      </c>
      <c r="L84" s="144">
        <v>1919.16</v>
      </c>
      <c r="M84" s="144">
        <v>1919.16</v>
      </c>
      <c r="N84" s="144">
        <v>1919.16</v>
      </c>
      <c r="O84" s="144">
        <v>1919.16</v>
      </c>
      <c r="P84" s="144">
        <v>1919.16</v>
      </c>
      <c r="Q84" s="144">
        <v>1919.16</v>
      </c>
      <c r="R84" s="256">
        <v>23554.84</v>
      </c>
      <c r="S84" s="25"/>
      <c r="T84" s="144">
        <v>1919.16</v>
      </c>
      <c r="U84" s="144">
        <v>1919.16</v>
      </c>
      <c r="V84" s="144">
        <v>6919.16</v>
      </c>
      <c r="W84" s="144">
        <v>1936.98</v>
      </c>
      <c r="X84" s="144">
        <v>1936.98</v>
      </c>
      <c r="Y84" s="144">
        <v>1936.98</v>
      </c>
      <c r="Z84" s="245">
        <v>16568.419999999998</v>
      </c>
      <c r="AA84" s="115"/>
      <c r="AB84" s="266">
        <f t="shared" si="14"/>
        <v>12039.88</v>
      </c>
      <c r="AC84" s="224">
        <f t="shared" si="15"/>
        <v>4528.5399999999991</v>
      </c>
      <c r="AD84" s="8">
        <f t="shared" si="16"/>
        <v>0.37612833350498504</v>
      </c>
    </row>
    <row r="85" spans="1:30" x14ac:dyDescent="0.4">
      <c r="A85" s="113" t="s">
        <v>171</v>
      </c>
      <c r="B85" s="196" t="s">
        <v>174</v>
      </c>
      <c r="C85" s="257">
        <v>58599.37</v>
      </c>
      <c r="D85" s="145">
        <v>4883.2808333333332</v>
      </c>
      <c r="E85" s="197" t="s">
        <v>19</v>
      </c>
      <c r="F85" s="145">
        <v>8286.82</v>
      </c>
      <c r="G85" s="145">
        <v>6894.36</v>
      </c>
      <c r="H85" s="145">
        <v>6262.33</v>
      </c>
      <c r="I85" s="145">
        <v>5875.85</v>
      </c>
      <c r="J85" s="145">
        <v>6127.94</v>
      </c>
      <c r="K85" s="145">
        <v>4961.75</v>
      </c>
      <c r="L85" s="145">
        <v>5615.98</v>
      </c>
      <c r="M85" s="145">
        <v>5982.16</v>
      </c>
      <c r="N85" s="145">
        <v>7258.17</v>
      </c>
      <c r="O85" s="145">
        <v>8101.42</v>
      </c>
      <c r="P85" s="145">
        <v>9952.5400000000009</v>
      </c>
      <c r="Q85" s="145">
        <v>9267.33</v>
      </c>
      <c r="R85" s="257">
        <v>84586.65</v>
      </c>
      <c r="S85" s="25"/>
      <c r="T85" s="145">
        <v>9437.75</v>
      </c>
      <c r="U85" s="145">
        <v>8322.4599999999991</v>
      </c>
      <c r="V85" s="145">
        <v>6817.39</v>
      </c>
      <c r="W85" s="145">
        <v>6616.56</v>
      </c>
      <c r="X85" s="145">
        <v>6949.6</v>
      </c>
      <c r="Y85" s="145">
        <v>6909.99</v>
      </c>
      <c r="Z85" s="246">
        <v>45053.75</v>
      </c>
      <c r="AA85" s="24"/>
      <c r="AB85" s="267">
        <f t="shared" si="14"/>
        <v>38409.050000000003</v>
      </c>
      <c r="AC85" s="11">
        <f t="shared" si="15"/>
        <v>6644.6999999999971</v>
      </c>
      <c r="AD85" s="12">
        <f t="shared" si="16"/>
        <v>0.17299829076741019</v>
      </c>
    </row>
    <row r="86" spans="1:30" x14ac:dyDescent="0.4">
      <c r="A86" s="113" t="s">
        <v>173</v>
      </c>
      <c r="B86" s="196" t="s">
        <v>175</v>
      </c>
      <c r="C86" s="257">
        <v>173186</v>
      </c>
      <c r="D86" s="145">
        <v>14432.166666666666</v>
      </c>
      <c r="E86" s="197" t="s">
        <v>19</v>
      </c>
      <c r="F86" s="145">
        <v>11700.75</v>
      </c>
      <c r="G86" s="145">
        <v>18845.12</v>
      </c>
      <c r="H86" s="145">
        <v>20910.310000000001</v>
      </c>
      <c r="I86" s="145">
        <v>16697.060000000001</v>
      </c>
      <c r="J86" s="145">
        <v>13561.03</v>
      </c>
      <c r="K86" s="145">
        <v>16781.54</v>
      </c>
      <c r="L86" s="145">
        <v>8970.35</v>
      </c>
      <c r="M86" s="145">
        <v>11288.71</v>
      </c>
      <c r="N86" s="145">
        <v>22619.68</v>
      </c>
      <c r="O86" s="145">
        <v>16336.47</v>
      </c>
      <c r="P86" s="145">
        <v>15296.42</v>
      </c>
      <c r="Q86" s="145">
        <v>17097.34</v>
      </c>
      <c r="R86" s="257">
        <v>190104.78</v>
      </c>
      <c r="S86" s="117"/>
      <c r="T86" s="145">
        <v>15167.68</v>
      </c>
      <c r="U86" s="145">
        <v>11832.04</v>
      </c>
      <c r="V86" s="145">
        <v>19026.54</v>
      </c>
      <c r="W86" s="145">
        <v>10244.719999999999</v>
      </c>
      <c r="X86" s="145">
        <v>11377.07</v>
      </c>
      <c r="Y86" s="145">
        <v>11640.23</v>
      </c>
      <c r="Z86" s="246">
        <v>79288.28</v>
      </c>
      <c r="AA86" s="115"/>
      <c r="AB86" s="257">
        <f>SUM(AB78:AB85)</f>
        <v>98495.81</v>
      </c>
      <c r="AC86" s="145">
        <f>SUM(AC78:AC85)</f>
        <v>-19207.53</v>
      </c>
      <c r="AD86" s="12">
        <f t="shared" si="10"/>
        <v>-0.19500859985820715</v>
      </c>
    </row>
    <row r="87" spans="1:30" x14ac:dyDescent="0.4">
      <c r="A87" s="113"/>
      <c r="B87" s="196"/>
      <c r="C87" s="256"/>
      <c r="D87" s="143"/>
      <c r="E87" s="197" t="s">
        <v>19</v>
      </c>
      <c r="F87" s="143"/>
      <c r="G87" s="143"/>
      <c r="H87" s="143"/>
      <c r="I87" s="143"/>
      <c r="J87" s="143"/>
      <c r="K87" s="143"/>
      <c r="L87" s="143"/>
      <c r="M87" s="143"/>
      <c r="N87" s="143"/>
      <c r="O87" s="143"/>
      <c r="P87" s="143"/>
      <c r="Q87" s="143"/>
      <c r="R87" s="256"/>
      <c r="S87" s="117"/>
      <c r="T87" s="143"/>
      <c r="U87" s="143"/>
      <c r="V87" s="143"/>
      <c r="W87" s="143"/>
      <c r="X87" s="143"/>
      <c r="Y87" s="143"/>
      <c r="Z87" s="245"/>
      <c r="AA87" s="24"/>
      <c r="AB87" s="256"/>
      <c r="AC87" s="4"/>
      <c r="AD87" s="5"/>
    </row>
    <row r="88" spans="1:30" x14ac:dyDescent="0.4">
      <c r="A88" s="113"/>
      <c r="B88" s="196" t="s">
        <v>60</v>
      </c>
      <c r="C88" s="256"/>
      <c r="D88" s="143"/>
      <c r="E88" s="197" t="s">
        <v>19</v>
      </c>
      <c r="F88" s="143"/>
      <c r="G88" s="143"/>
      <c r="H88" s="143"/>
      <c r="I88" s="143"/>
      <c r="J88" s="143"/>
      <c r="K88" s="143"/>
      <c r="L88" s="143"/>
      <c r="M88" s="143"/>
      <c r="N88" s="143"/>
      <c r="O88" s="143"/>
      <c r="P88" s="143"/>
      <c r="Q88" s="143"/>
      <c r="R88" s="256"/>
      <c r="S88" s="25"/>
      <c r="T88" s="143"/>
      <c r="U88" s="143"/>
      <c r="V88" s="143"/>
      <c r="W88" s="143"/>
      <c r="X88" s="143"/>
      <c r="Y88" s="143"/>
      <c r="Z88" s="245"/>
      <c r="AA88" s="25"/>
      <c r="AB88" s="256"/>
      <c r="AC88" s="4"/>
      <c r="AD88" s="5"/>
    </row>
    <row r="89" spans="1:30" x14ac:dyDescent="0.4">
      <c r="A89" s="113"/>
      <c r="B89" s="196" t="s">
        <v>177</v>
      </c>
      <c r="C89" s="256">
        <v>68775.05</v>
      </c>
      <c r="D89" s="144">
        <v>5731.2541666666666</v>
      </c>
      <c r="E89" s="197" t="s">
        <v>19</v>
      </c>
      <c r="F89" s="144">
        <v>3173.34</v>
      </c>
      <c r="G89" s="144">
        <v>9695.4500000000007</v>
      </c>
      <c r="H89" s="144">
        <v>4384.1000000000004</v>
      </c>
      <c r="I89" s="144">
        <v>9234.2000000000007</v>
      </c>
      <c r="J89" s="144">
        <v>2480.84</v>
      </c>
      <c r="K89" s="144">
        <v>5484.15</v>
      </c>
      <c r="L89" s="144">
        <v>6979.22</v>
      </c>
      <c r="M89" s="144">
        <v>1792.71</v>
      </c>
      <c r="N89" s="144">
        <v>4327.6400000000003</v>
      </c>
      <c r="O89" s="144">
        <v>4745.28</v>
      </c>
      <c r="P89" s="144">
        <v>2791.52</v>
      </c>
      <c r="Q89" s="144">
        <v>4700.6499999999996</v>
      </c>
      <c r="R89" s="256">
        <v>59789.1</v>
      </c>
      <c r="S89" s="25"/>
      <c r="T89" s="144">
        <v>2603.66</v>
      </c>
      <c r="U89" s="144">
        <v>6809.9</v>
      </c>
      <c r="V89" s="144">
        <v>1686.9</v>
      </c>
      <c r="W89" s="144">
        <v>6614.75</v>
      </c>
      <c r="X89" s="144">
        <v>1755.65</v>
      </c>
      <c r="Y89" s="144">
        <v>5303.83</v>
      </c>
      <c r="Z89" s="245">
        <v>24774.69</v>
      </c>
      <c r="AA89" s="25"/>
      <c r="AB89" s="266">
        <f t="shared" ref="AB89:AB100" si="17">SUM(F89:K89)</f>
        <v>34452.080000000002</v>
      </c>
      <c r="AC89" s="224">
        <f>+Z89-AB89</f>
        <v>-9677.3900000000031</v>
      </c>
      <c r="AD89" s="8">
        <f t="shared" si="10"/>
        <v>-0.28089421596606073</v>
      </c>
    </row>
    <row r="90" spans="1:30" x14ac:dyDescent="0.4">
      <c r="A90" s="113" t="s">
        <v>176</v>
      </c>
      <c r="B90" s="196" t="s">
        <v>179</v>
      </c>
      <c r="C90" s="256">
        <v>5163.3599999999997</v>
      </c>
      <c r="D90" s="144">
        <v>430.28</v>
      </c>
      <c r="E90" s="197" t="s">
        <v>19</v>
      </c>
      <c r="F90" s="143"/>
      <c r="G90" s="143"/>
      <c r="H90" s="143"/>
      <c r="I90" s="143"/>
      <c r="J90" s="143"/>
      <c r="K90" s="144">
        <v>236.81</v>
      </c>
      <c r="L90" s="143"/>
      <c r="M90" s="143"/>
      <c r="N90" s="143"/>
      <c r="O90" s="144">
        <v>2066.1799999999998</v>
      </c>
      <c r="P90" s="143"/>
      <c r="Q90" s="143"/>
      <c r="R90" s="256">
        <v>2302.9899999999998</v>
      </c>
      <c r="S90" s="117"/>
      <c r="T90" s="144">
        <v>5000</v>
      </c>
      <c r="U90" s="143"/>
      <c r="V90" s="144">
        <v>7981.09</v>
      </c>
      <c r="W90" s="143"/>
      <c r="X90" s="143"/>
      <c r="Y90" s="144">
        <v>200.39</v>
      </c>
      <c r="Z90" s="245">
        <v>13181.48</v>
      </c>
      <c r="AA90" s="115"/>
      <c r="AB90" s="266">
        <f t="shared" si="17"/>
        <v>236.81</v>
      </c>
      <c r="AC90" s="224">
        <f t="shared" ref="AC90:AC100" si="18">+Z90-AB90</f>
        <v>12944.67</v>
      </c>
      <c r="AD90" s="8">
        <f t="shared" ref="AD90:AD100" si="19">+AC90/AB90</f>
        <v>54.662683163717752</v>
      </c>
    </row>
    <row r="91" spans="1:30" x14ac:dyDescent="0.4">
      <c r="A91" s="113" t="s">
        <v>178</v>
      </c>
      <c r="B91" s="196" t="s">
        <v>181</v>
      </c>
      <c r="C91" s="256"/>
      <c r="D91" s="144"/>
      <c r="E91" s="197" t="s">
        <v>19</v>
      </c>
      <c r="F91" s="143"/>
      <c r="G91" s="143"/>
      <c r="H91" s="143"/>
      <c r="I91" s="143"/>
      <c r="J91" s="143"/>
      <c r="K91" s="143"/>
      <c r="L91" s="143"/>
      <c r="M91" s="143"/>
      <c r="N91" s="143"/>
      <c r="O91" s="143"/>
      <c r="P91" s="143"/>
      <c r="Q91" s="144">
        <v>815</v>
      </c>
      <c r="R91" s="256">
        <v>815</v>
      </c>
      <c r="S91" s="25"/>
      <c r="T91" s="143"/>
      <c r="U91" s="144">
        <v>1619.82</v>
      </c>
      <c r="V91" s="143"/>
      <c r="W91" s="144">
        <v>-22.68</v>
      </c>
      <c r="X91" s="143"/>
      <c r="Y91" s="143"/>
      <c r="Z91" s="245">
        <v>1597.14</v>
      </c>
      <c r="AA91" s="115"/>
      <c r="AB91" s="266">
        <f t="shared" si="17"/>
        <v>0</v>
      </c>
      <c r="AC91" s="224">
        <f t="shared" si="18"/>
        <v>1597.14</v>
      </c>
      <c r="AD91" s="8" t="e">
        <f t="shared" si="19"/>
        <v>#DIV/0!</v>
      </c>
    </row>
    <row r="92" spans="1:30" x14ac:dyDescent="0.4">
      <c r="A92" s="113"/>
      <c r="B92" s="196" t="s">
        <v>183</v>
      </c>
      <c r="C92" s="256">
        <v>43916.57</v>
      </c>
      <c r="D92" s="144">
        <v>3659.7141666666666</v>
      </c>
      <c r="E92" s="197" t="s">
        <v>19</v>
      </c>
      <c r="F92" s="144">
        <v>823.1</v>
      </c>
      <c r="G92" s="144">
        <v>2877.77</v>
      </c>
      <c r="H92" s="144">
        <v>4023.97</v>
      </c>
      <c r="I92" s="144">
        <v>2051.2600000000002</v>
      </c>
      <c r="J92" s="144">
        <v>3815.5</v>
      </c>
      <c r="K92" s="143"/>
      <c r="L92" s="144">
        <v>1895.2</v>
      </c>
      <c r="M92" s="144">
        <v>1220.55</v>
      </c>
      <c r="N92" s="143"/>
      <c r="O92" s="144">
        <v>1155.5</v>
      </c>
      <c r="P92" s="144">
        <v>855</v>
      </c>
      <c r="Q92" s="144">
        <v>2739.05</v>
      </c>
      <c r="R92" s="256">
        <v>21456.9</v>
      </c>
      <c r="S92" s="25"/>
      <c r="T92" s="144">
        <v>756.45</v>
      </c>
      <c r="U92" s="144">
        <v>507.45</v>
      </c>
      <c r="V92" s="143"/>
      <c r="W92" s="144">
        <v>642.9</v>
      </c>
      <c r="X92" s="144">
        <v>1819</v>
      </c>
      <c r="Y92" s="144">
        <v>449.25</v>
      </c>
      <c r="Z92" s="245">
        <v>4175.05</v>
      </c>
      <c r="AA92" s="24"/>
      <c r="AB92" s="266">
        <f t="shared" si="17"/>
        <v>13591.6</v>
      </c>
      <c r="AC92" s="224">
        <f t="shared" si="18"/>
        <v>-9416.5499999999993</v>
      </c>
      <c r="AD92" s="8">
        <f t="shared" si="19"/>
        <v>-0.69282130139203624</v>
      </c>
    </row>
    <row r="93" spans="1:30" x14ac:dyDescent="0.4">
      <c r="A93" s="113" t="s">
        <v>182</v>
      </c>
      <c r="B93" s="196" t="s">
        <v>185</v>
      </c>
      <c r="C93" s="256">
        <v>47057.05</v>
      </c>
      <c r="D93" s="144">
        <v>3921.4208333333331</v>
      </c>
      <c r="E93" s="197" t="s">
        <v>19</v>
      </c>
      <c r="F93" s="144">
        <v>3800</v>
      </c>
      <c r="G93" s="144">
        <v>3900</v>
      </c>
      <c r="H93" s="143"/>
      <c r="I93" s="144">
        <v>5300</v>
      </c>
      <c r="J93" s="144">
        <v>4000</v>
      </c>
      <c r="K93" s="144">
        <v>4750</v>
      </c>
      <c r="L93" s="143"/>
      <c r="M93" s="144">
        <v>2500</v>
      </c>
      <c r="N93" s="144">
        <v>3500</v>
      </c>
      <c r="O93" s="144">
        <v>5550.5</v>
      </c>
      <c r="P93" s="144">
        <v>1800</v>
      </c>
      <c r="Q93" s="143"/>
      <c r="R93" s="256">
        <v>35100.5</v>
      </c>
      <c r="S93" s="25"/>
      <c r="T93" s="143"/>
      <c r="U93" s="143"/>
      <c r="V93" s="144">
        <v>1410.95</v>
      </c>
      <c r="W93" s="144">
        <v>2501</v>
      </c>
      <c r="X93" s="143"/>
      <c r="Y93" s="144">
        <v>3800</v>
      </c>
      <c r="Z93" s="245">
        <v>7711.95</v>
      </c>
      <c r="AA93" s="24"/>
      <c r="AB93" s="266">
        <f t="shared" si="17"/>
        <v>21750</v>
      </c>
      <c r="AC93" s="224">
        <f t="shared" si="18"/>
        <v>-14038.05</v>
      </c>
      <c r="AD93" s="8">
        <f t="shared" si="19"/>
        <v>-0.64542758620689655</v>
      </c>
    </row>
    <row r="94" spans="1:30" x14ac:dyDescent="0.4">
      <c r="A94" s="113" t="s">
        <v>184</v>
      </c>
      <c r="B94" s="196" t="s">
        <v>187</v>
      </c>
      <c r="C94" s="256">
        <v>6494.05</v>
      </c>
      <c r="D94" s="144">
        <v>541.17083333333335</v>
      </c>
      <c r="E94" s="197" t="s">
        <v>19</v>
      </c>
      <c r="F94" s="144">
        <v>238.71</v>
      </c>
      <c r="G94" s="143"/>
      <c r="H94" s="143"/>
      <c r="I94" s="144">
        <v>213.53</v>
      </c>
      <c r="J94" s="144">
        <v>309.7</v>
      </c>
      <c r="K94" s="143"/>
      <c r="L94" s="143"/>
      <c r="M94" s="143"/>
      <c r="N94" s="144">
        <v>618.67999999999995</v>
      </c>
      <c r="O94" s="144">
        <v>239.81</v>
      </c>
      <c r="P94" s="143"/>
      <c r="Q94" s="143"/>
      <c r="R94" s="256">
        <v>1620.43</v>
      </c>
      <c r="S94" s="25"/>
      <c r="T94" s="143"/>
      <c r="U94" s="144">
        <v>294.01</v>
      </c>
      <c r="V94" s="143"/>
      <c r="W94" s="143"/>
      <c r="X94" s="143"/>
      <c r="Y94" s="143"/>
      <c r="Z94" s="245">
        <v>294.01</v>
      </c>
      <c r="AA94" s="115"/>
      <c r="AB94" s="266">
        <f t="shared" si="17"/>
        <v>761.94</v>
      </c>
      <c r="AC94" s="224">
        <f t="shared" si="18"/>
        <v>-467.93000000000006</v>
      </c>
      <c r="AD94" s="8">
        <f t="shared" si="19"/>
        <v>-0.6141297215003807</v>
      </c>
    </row>
    <row r="95" spans="1:30" x14ac:dyDescent="0.4">
      <c r="A95" s="113" t="s">
        <v>186</v>
      </c>
      <c r="B95" s="196" t="s">
        <v>189</v>
      </c>
      <c r="C95" s="256"/>
      <c r="D95" s="144"/>
      <c r="E95" s="197" t="s">
        <v>19</v>
      </c>
      <c r="F95" s="143"/>
      <c r="G95" s="143"/>
      <c r="H95" s="143"/>
      <c r="I95" s="143"/>
      <c r="J95" s="143"/>
      <c r="K95" s="143"/>
      <c r="L95" s="143"/>
      <c r="M95" s="143"/>
      <c r="N95" s="143"/>
      <c r="O95" s="143"/>
      <c r="P95" s="143"/>
      <c r="Q95" s="143"/>
      <c r="R95" s="256"/>
      <c r="S95" s="25"/>
      <c r="T95" s="144">
        <v>4289.8500000000004</v>
      </c>
      <c r="U95" s="144">
        <v>892.22</v>
      </c>
      <c r="V95" s="144">
        <v>1746</v>
      </c>
      <c r="W95" s="144">
        <v>1746</v>
      </c>
      <c r="X95" s="144">
        <v>1746</v>
      </c>
      <c r="Y95" s="144">
        <v>1746</v>
      </c>
      <c r="Z95" s="245">
        <v>12166.07</v>
      </c>
      <c r="AA95" s="115"/>
      <c r="AB95" s="266">
        <f t="shared" si="17"/>
        <v>0</v>
      </c>
      <c r="AC95" s="224">
        <f t="shared" si="18"/>
        <v>12166.07</v>
      </c>
      <c r="AD95" s="8" t="e">
        <f t="shared" si="19"/>
        <v>#DIV/0!</v>
      </c>
    </row>
    <row r="96" spans="1:30" x14ac:dyDescent="0.4">
      <c r="A96" s="113"/>
      <c r="B96" s="196" t="s">
        <v>191</v>
      </c>
      <c r="C96" s="256">
        <v>5956.97</v>
      </c>
      <c r="D96" s="144">
        <v>496.41416666666669</v>
      </c>
      <c r="E96" s="197" t="s">
        <v>19</v>
      </c>
      <c r="F96" s="143"/>
      <c r="G96" s="144">
        <v>5445.83</v>
      </c>
      <c r="H96" s="143"/>
      <c r="I96" s="143"/>
      <c r="J96" s="143"/>
      <c r="K96" s="144">
        <v>943.94</v>
      </c>
      <c r="L96" s="143"/>
      <c r="M96" s="143"/>
      <c r="N96" s="143"/>
      <c r="O96" s="143"/>
      <c r="P96" s="143"/>
      <c r="Q96" s="143"/>
      <c r="R96" s="256">
        <v>6389.77</v>
      </c>
      <c r="S96" s="25"/>
      <c r="T96" s="143"/>
      <c r="U96" s="143"/>
      <c r="V96" s="143"/>
      <c r="W96" s="143"/>
      <c r="X96" s="144">
        <v>2271.4</v>
      </c>
      <c r="Y96" s="143"/>
      <c r="Z96" s="245">
        <v>2271.4</v>
      </c>
      <c r="AA96" s="24"/>
      <c r="AB96" s="266">
        <f t="shared" si="17"/>
        <v>6389.77</v>
      </c>
      <c r="AC96" s="224">
        <f t="shared" si="18"/>
        <v>-4118.3700000000008</v>
      </c>
      <c r="AD96" s="8">
        <f t="shared" si="19"/>
        <v>-0.64452554630291869</v>
      </c>
    </row>
    <row r="97" spans="1:30" x14ac:dyDescent="0.4">
      <c r="A97" s="113" t="s">
        <v>190</v>
      </c>
      <c r="B97" s="196" t="s">
        <v>193</v>
      </c>
      <c r="C97" s="256">
        <v>284295.51</v>
      </c>
      <c r="D97" s="144">
        <v>23691.2925</v>
      </c>
      <c r="E97" s="197" t="s">
        <v>19</v>
      </c>
      <c r="F97" s="144">
        <v>17734.509999999998</v>
      </c>
      <c r="G97" s="144">
        <v>26814.32</v>
      </c>
      <c r="H97" s="144">
        <v>17561.2</v>
      </c>
      <c r="I97" s="144">
        <v>16589.21</v>
      </c>
      <c r="J97" s="144">
        <v>14181.91</v>
      </c>
      <c r="K97" s="144">
        <v>25288.03</v>
      </c>
      <c r="L97" s="144">
        <v>18503.93</v>
      </c>
      <c r="M97" s="144">
        <v>12809.73</v>
      </c>
      <c r="N97" s="144">
        <v>4432.17</v>
      </c>
      <c r="O97" s="144">
        <v>4946.2700000000004</v>
      </c>
      <c r="P97" s="144">
        <v>3021.54</v>
      </c>
      <c r="Q97" s="144">
        <v>8969.17</v>
      </c>
      <c r="R97" s="256">
        <v>170851.99</v>
      </c>
      <c r="S97" s="25"/>
      <c r="T97" s="144">
        <v>2178.58</v>
      </c>
      <c r="U97" s="144">
        <v>827.6</v>
      </c>
      <c r="V97" s="144">
        <v>1566.29</v>
      </c>
      <c r="W97" s="144">
        <v>17975.59</v>
      </c>
      <c r="X97" s="144">
        <v>7675.26</v>
      </c>
      <c r="Y97" s="144">
        <v>25542.880000000001</v>
      </c>
      <c r="Z97" s="245">
        <v>55766.2</v>
      </c>
      <c r="AA97" s="24"/>
      <c r="AB97" s="266">
        <f t="shared" si="17"/>
        <v>118169.18</v>
      </c>
      <c r="AC97" s="224">
        <f t="shared" si="18"/>
        <v>-62402.979999999996</v>
      </c>
      <c r="AD97" s="8">
        <f t="shared" si="19"/>
        <v>-0.5280816876278569</v>
      </c>
    </row>
    <row r="98" spans="1:30" x14ac:dyDescent="0.4">
      <c r="A98" s="113" t="s">
        <v>192</v>
      </c>
      <c r="B98" s="196" t="s">
        <v>195</v>
      </c>
      <c r="C98" s="256">
        <v>4582.8100000000004</v>
      </c>
      <c r="D98" s="144">
        <v>381.90083333333331</v>
      </c>
      <c r="E98" s="197" t="s">
        <v>19</v>
      </c>
      <c r="F98" s="144">
        <v>186.83</v>
      </c>
      <c r="G98" s="143"/>
      <c r="H98" s="144">
        <v>500.36</v>
      </c>
      <c r="I98" s="143"/>
      <c r="J98" s="143"/>
      <c r="K98" s="144">
        <v>556.79999999999995</v>
      </c>
      <c r="L98" s="143"/>
      <c r="M98" s="143"/>
      <c r="N98" s="143"/>
      <c r="O98" s="144">
        <v>759.27</v>
      </c>
      <c r="P98" s="143"/>
      <c r="Q98" s="143"/>
      <c r="R98" s="256">
        <v>2003.26</v>
      </c>
      <c r="S98" s="25"/>
      <c r="T98" s="143"/>
      <c r="U98" s="144">
        <v>273.19</v>
      </c>
      <c r="V98" s="143"/>
      <c r="W98" s="143"/>
      <c r="X98" s="144">
        <v>586.87</v>
      </c>
      <c r="Y98" s="143"/>
      <c r="Z98" s="245">
        <v>860.06</v>
      </c>
      <c r="AA98" s="24"/>
      <c r="AB98" s="266">
        <f t="shared" si="17"/>
        <v>1243.99</v>
      </c>
      <c r="AC98" s="224">
        <f t="shared" si="18"/>
        <v>-383.93000000000006</v>
      </c>
      <c r="AD98" s="8">
        <f t="shared" si="19"/>
        <v>-0.30862788286079473</v>
      </c>
    </row>
    <row r="99" spans="1:30" x14ac:dyDescent="0.4">
      <c r="A99" s="113" t="s">
        <v>194</v>
      </c>
      <c r="B99" s="196" t="s">
        <v>197</v>
      </c>
      <c r="C99" s="256">
        <v>1785.3</v>
      </c>
      <c r="D99" s="144">
        <v>148.77500000000001</v>
      </c>
      <c r="E99" s="197" t="s">
        <v>19</v>
      </c>
      <c r="F99" s="143"/>
      <c r="G99" s="144">
        <v>3379.5</v>
      </c>
      <c r="H99" s="143"/>
      <c r="I99" s="143"/>
      <c r="J99" s="143"/>
      <c r="K99" s="143"/>
      <c r="L99" s="143"/>
      <c r="M99" s="143"/>
      <c r="N99" s="144">
        <v>3000</v>
      </c>
      <c r="O99" s="144">
        <v>4000</v>
      </c>
      <c r="P99" s="144">
        <v>16483.18</v>
      </c>
      <c r="Q99" s="144">
        <v>22674.94</v>
      </c>
      <c r="R99" s="256">
        <v>49537.62</v>
      </c>
      <c r="S99" s="25"/>
      <c r="T99" s="143"/>
      <c r="U99" s="144">
        <v>6831.27</v>
      </c>
      <c r="V99" s="143"/>
      <c r="W99" s="144"/>
      <c r="X99" s="144">
        <v>12566.97</v>
      </c>
      <c r="Y99" s="144">
        <v>19385.77</v>
      </c>
      <c r="Z99" s="245">
        <v>38784.01</v>
      </c>
      <c r="AA99" s="24"/>
      <c r="AB99" s="266">
        <f t="shared" si="17"/>
        <v>3379.5</v>
      </c>
      <c r="AC99" s="224">
        <f t="shared" si="18"/>
        <v>35404.51</v>
      </c>
      <c r="AD99" s="8">
        <f t="shared" si="19"/>
        <v>10.476256842728215</v>
      </c>
    </row>
    <row r="100" spans="1:30" x14ac:dyDescent="0.4">
      <c r="A100" s="113" t="s">
        <v>196</v>
      </c>
      <c r="B100" s="196" t="s">
        <v>199</v>
      </c>
      <c r="C100" s="257">
        <v>21068.44</v>
      </c>
      <c r="D100" s="145">
        <v>1755.7033333333334</v>
      </c>
      <c r="E100" s="197" t="s">
        <v>19</v>
      </c>
      <c r="F100" s="145">
        <v>1661.6</v>
      </c>
      <c r="G100" s="145">
        <v>1732.75</v>
      </c>
      <c r="H100" s="145">
        <v>1036.49</v>
      </c>
      <c r="I100" s="146"/>
      <c r="J100" s="145">
        <v>2127.0300000000002</v>
      </c>
      <c r="K100" s="145">
        <v>190.13</v>
      </c>
      <c r="L100" s="146"/>
      <c r="M100" s="145">
        <v>74.989999999999995</v>
      </c>
      <c r="N100" s="146"/>
      <c r="O100" s="146"/>
      <c r="P100" s="146"/>
      <c r="Q100" s="146"/>
      <c r="R100" s="257">
        <v>6822.99</v>
      </c>
      <c r="S100" s="117"/>
      <c r="T100" s="145">
        <v>308.7</v>
      </c>
      <c r="U100" s="146"/>
      <c r="V100" s="146"/>
      <c r="W100" s="146"/>
      <c r="X100" s="146"/>
      <c r="Y100" s="146"/>
      <c r="Z100" s="246">
        <v>308.7</v>
      </c>
      <c r="AA100" s="24"/>
      <c r="AB100" s="267">
        <f t="shared" si="17"/>
        <v>6748.0000000000009</v>
      </c>
      <c r="AC100" s="11">
        <f t="shared" si="18"/>
        <v>-6439.3000000000011</v>
      </c>
      <c r="AD100" s="12">
        <f t="shared" si="19"/>
        <v>-0.95425311203319507</v>
      </c>
    </row>
    <row r="101" spans="1:30" x14ac:dyDescent="0.4">
      <c r="A101" s="113" t="s">
        <v>198</v>
      </c>
      <c r="B101" s="196" t="s">
        <v>200</v>
      </c>
      <c r="C101" s="257">
        <v>489095.11</v>
      </c>
      <c r="D101" s="145">
        <v>40757.925833333335</v>
      </c>
      <c r="E101" s="197" t="s">
        <v>19</v>
      </c>
      <c r="F101" s="145">
        <v>27618.09</v>
      </c>
      <c r="G101" s="145">
        <v>53845.62</v>
      </c>
      <c r="H101" s="145">
        <v>27506.12</v>
      </c>
      <c r="I101" s="145">
        <v>33388.199999999997</v>
      </c>
      <c r="J101" s="145">
        <v>26914.98</v>
      </c>
      <c r="K101" s="145">
        <v>37449.86</v>
      </c>
      <c r="L101" s="145">
        <v>27378.35</v>
      </c>
      <c r="M101" s="145">
        <v>18397.98</v>
      </c>
      <c r="N101" s="145">
        <v>15878.49</v>
      </c>
      <c r="O101" s="145">
        <v>23462.81</v>
      </c>
      <c r="P101" s="145">
        <v>24951.24</v>
      </c>
      <c r="Q101" s="145">
        <v>39898.81</v>
      </c>
      <c r="R101" s="257">
        <v>356690.55</v>
      </c>
      <c r="S101" s="117"/>
      <c r="T101" s="145">
        <v>15137.24</v>
      </c>
      <c r="U101" s="145">
        <v>18055.46</v>
      </c>
      <c r="V101" s="145">
        <v>14391.23</v>
      </c>
      <c r="W101" s="145">
        <v>29457.56</v>
      </c>
      <c r="X101" s="145">
        <v>28421.15</v>
      </c>
      <c r="Y101" s="145">
        <v>56428.12</v>
      </c>
      <c r="Z101" s="246">
        <v>161890.76</v>
      </c>
      <c r="AA101" s="24"/>
      <c r="AB101" s="257">
        <f>SUM(AB89:AB100)</f>
        <v>206722.87</v>
      </c>
      <c r="AC101" s="145">
        <f>SUM(AC89:AC100)</f>
        <v>-44832.109999999993</v>
      </c>
      <c r="AD101" s="12">
        <f t="shared" si="10"/>
        <v>-0.21687058621041783</v>
      </c>
    </row>
    <row r="102" spans="1:30" x14ac:dyDescent="0.4">
      <c r="A102" s="113"/>
      <c r="B102" s="196"/>
      <c r="C102" s="256"/>
      <c r="D102" s="143"/>
      <c r="E102" s="197" t="s">
        <v>19</v>
      </c>
      <c r="F102" s="143"/>
      <c r="G102" s="143"/>
      <c r="H102" s="143"/>
      <c r="I102" s="143"/>
      <c r="J102" s="143"/>
      <c r="K102" s="143"/>
      <c r="L102" s="143"/>
      <c r="M102" s="143"/>
      <c r="N102" s="143"/>
      <c r="O102" s="143"/>
      <c r="P102" s="143"/>
      <c r="Q102" s="143"/>
      <c r="R102" s="256"/>
      <c r="S102" s="25"/>
      <c r="T102" s="143"/>
      <c r="U102" s="143"/>
      <c r="V102" s="143"/>
      <c r="W102" s="143"/>
      <c r="X102" s="143"/>
      <c r="Y102" s="143"/>
      <c r="Z102" s="245"/>
      <c r="AA102" s="24"/>
      <c r="AB102" s="256"/>
      <c r="AC102" s="4"/>
      <c r="AD102" s="5"/>
    </row>
    <row r="103" spans="1:30" x14ac:dyDescent="0.4">
      <c r="A103" s="113"/>
      <c r="B103" s="196" t="s">
        <v>201</v>
      </c>
      <c r="C103" s="256"/>
      <c r="D103" s="143"/>
      <c r="E103" s="197" t="s">
        <v>19</v>
      </c>
      <c r="F103" s="143"/>
      <c r="G103" s="143"/>
      <c r="H103" s="143"/>
      <c r="I103" s="143"/>
      <c r="J103" s="143"/>
      <c r="K103" s="143"/>
      <c r="L103" s="143"/>
      <c r="M103" s="143"/>
      <c r="N103" s="143"/>
      <c r="O103" s="143"/>
      <c r="P103" s="143"/>
      <c r="Q103" s="143"/>
      <c r="R103" s="256"/>
      <c r="S103" s="25"/>
      <c r="T103" s="143"/>
      <c r="U103" s="143"/>
      <c r="V103" s="143"/>
      <c r="W103" s="143"/>
      <c r="X103" s="143"/>
      <c r="Y103" s="143"/>
      <c r="Z103" s="245"/>
      <c r="AA103" s="25"/>
      <c r="AB103" s="256"/>
      <c r="AC103" s="4"/>
      <c r="AD103" s="5"/>
    </row>
    <row r="104" spans="1:30" x14ac:dyDescent="0.4">
      <c r="A104" s="113"/>
      <c r="B104" s="196" t="s">
        <v>203</v>
      </c>
      <c r="C104" s="257">
        <v>144038.43</v>
      </c>
      <c r="D104" s="145">
        <v>12003.202499999999</v>
      </c>
      <c r="E104" s="197" t="s">
        <v>19</v>
      </c>
      <c r="F104" s="145">
        <v>2248.75</v>
      </c>
      <c r="G104" s="145">
        <v>5782.92</v>
      </c>
      <c r="H104" s="145">
        <v>300</v>
      </c>
      <c r="I104" s="145">
        <v>2889.93</v>
      </c>
      <c r="J104" s="145">
        <v>5559.79</v>
      </c>
      <c r="K104" s="145">
        <v>3638.29</v>
      </c>
      <c r="L104" s="146"/>
      <c r="M104" s="146"/>
      <c r="N104" s="146"/>
      <c r="O104" s="146"/>
      <c r="P104" s="146"/>
      <c r="Q104" s="146"/>
      <c r="R104" s="257">
        <v>20419.68</v>
      </c>
      <c r="S104" s="117"/>
      <c r="T104" s="146"/>
      <c r="U104" s="146"/>
      <c r="V104" s="146"/>
      <c r="W104" s="146"/>
      <c r="X104" s="146"/>
      <c r="Y104" s="146"/>
      <c r="Z104" s="246"/>
      <c r="AA104" s="25"/>
      <c r="AB104" s="257">
        <f>SUM(F104:K104)</f>
        <v>20419.68</v>
      </c>
      <c r="AC104" s="11">
        <f>+Z104-AB104</f>
        <v>-20419.68</v>
      </c>
      <c r="AD104" s="5">
        <f t="shared" ref="AD104:AD117" si="20">+AC104/AB104</f>
        <v>-1</v>
      </c>
    </row>
    <row r="105" spans="1:30" x14ac:dyDescent="0.4">
      <c r="A105" s="113" t="s">
        <v>202</v>
      </c>
      <c r="B105" s="196" t="s">
        <v>206</v>
      </c>
      <c r="C105" s="257">
        <v>144038.43</v>
      </c>
      <c r="D105" s="145">
        <v>12003.202499999999</v>
      </c>
      <c r="E105" s="197" t="s">
        <v>19</v>
      </c>
      <c r="F105" s="145">
        <v>2248.75</v>
      </c>
      <c r="G105" s="145">
        <v>5782.92</v>
      </c>
      <c r="H105" s="145">
        <v>300</v>
      </c>
      <c r="I105" s="145">
        <v>2889.93</v>
      </c>
      <c r="J105" s="145">
        <v>5559.79</v>
      </c>
      <c r="K105" s="145">
        <v>3638.29</v>
      </c>
      <c r="L105" s="145"/>
      <c r="M105" s="145"/>
      <c r="N105" s="145"/>
      <c r="O105" s="145"/>
      <c r="P105" s="145"/>
      <c r="Q105" s="145"/>
      <c r="R105" s="257">
        <v>20419.68</v>
      </c>
      <c r="S105" s="25"/>
      <c r="T105" s="145"/>
      <c r="U105" s="145"/>
      <c r="V105" s="145"/>
      <c r="W105" s="145"/>
      <c r="X105" s="145"/>
      <c r="Y105" s="145"/>
      <c r="Z105" s="246"/>
      <c r="AA105" s="115"/>
      <c r="AB105" s="257">
        <f>SUM(AB104)</f>
        <v>20419.68</v>
      </c>
      <c r="AC105" s="145">
        <f>SUM(AC104)</f>
        <v>-20419.68</v>
      </c>
      <c r="AD105" s="10">
        <f t="shared" si="20"/>
        <v>-1</v>
      </c>
    </row>
    <row r="106" spans="1:30" x14ac:dyDescent="0.4">
      <c r="A106" s="113"/>
      <c r="B106" s="196"/>
      <c r="C106" s="256"/>
      <c r="D106" s="143"/>
      <c r="E106" s="197" t="s">
        <v>19</v>
      </c>
      <c r="F106" s="143"/>
      <c r="G106" s="143"/>
      <c r="H106" s="143"/>
      <c r="I106" s="143"/>
      <c r="J106" s="143"/>
      <c r="K106" s="143"/>
      <c r="L106" s="143"/>
      <c r="M106" s="143"/>
      <c r="N106" s="143"/>
      <c r="O106" s="143"/>
      <c r="P106" s="143"/>
      <c r="Q106" s="143"/>
      <c r="R106" s="256"/>
      <c r="S106" s="117"/>
      <c r="T106" s="143"/>
      <c r="U106" s="143"/>
      <c r="V106" s="143"/>
      <c r="W106" s="143"/>
      <c r="X106" s="143"/>
      <c r="Y106" s="143"/>
      <c r="Z106" s="245"/>
      <c r="AA106" s="115"/>
      <c r="AB106" s="256"/>
      <c r="AC106" s="4"/>
      <c r="AD106" s="5"/>
    </row>
    <row r="107" spans="1:30" x14ac:dyDescent="0.4">
      <c r="A107" s="113"/>
      <c r="B107" s="196" t="s">
        <v>207</v>
      </c>
      <c r="C107" s="257">
        <v>3251162.03</v>
      </c>
      <c r="D107" s="145">
        <v>270930.16916666669</v>
      </c>
      <c r="E107" s="197" t="s">
        <v>19</v>
      </c>
      <c r="F107" s="145">
        <v>246906.95</v>
      </c>
      <c r="G107" s="145">
        <v>281156.46000000002</v>
      </c>
      <c r="H107" s="145">
        <v>259646.85</v>
      </c>
      <c r="I107" s="145">
        <v>265521.26</v>
      </c>
      <c r="J107" s="145">
        <v>258161.83</v>
      </c>
      <c r="K107" s="145">
        <v>265577.49</v>
      </c>
      <c r="L107" s="145">
        <v>241475.74</v>
      </c>
      <c r="M107" s="145">
        <v>220256.37</v>
      </c>
      <c r="N107" s="145">
        <v>233681.24</v>
      </c>
      <c r="O107" s="145">
        <v>235494.51</v>
      </c>
      <c r="P107" s="145">
        <v>231959.69</v>
      </c>
      <c r="Q107" s="145">
        <v>247692.35</v>
      </c>
      <c r="R107" s="257">
        <v>2987530.74</v>
      </c>
      <c r="S107" s="117"/>
      <c r="T107" s="145">
        <v>269426.44</v>
      </c>
      <c r="U107" s="145">
        <v>252461.68</v>
      </c>
      <c r="V107" s="145">
        <v>251650.61</v>
      </c>
      <c r="W107" s="145">
        <v>249436.66</v>
      </c>
      <c r="X107" s="145">
        <v>209104.66</v>
      </c>
      <c r="Y107" s="145">
        <v>236046.16</v>
      </c>
      <c r="Z107" s="246">
        <v>1468126.21</v>
      </c>
      <c r="AA107" s="25"/>
      <c r="AB107" s="257">
        <f>SUM(F107:K107)</f>
        <v>1576970.84</v>
      </c>
      <c r="AC107" s="11">
        <f>+Z107-AB107</f>
        <v>-108844.63000000012</v>
      </c>
      <c r="AD107" s="12">
        <f t="shared" si="20"/>
        <v>-6.9021333330424872E-2</v>
      </c>
    </row>
    <row r="108" spans="1:30" x14ac:dyDescent="0.4">
      <c r="A108" s="113"/>
      <c r="B108" s="196"/>
      <c r="C108" s="256"/>
      <c r="D108" s="143"/>
      <c r="E108" s="197" t="s">
        <v>19</v>
      </c>
      <c r="F108" s="143"/>
      <c r="G108" s="143"/>
      <c r="H108" s="143"/>
      <c r="I108" s="143"/>
      <c r="J108" s="143"/>
      <c r="K108" s="143"/>
      <c r="L108" s="143"/>
      <c r="M108" s="143"/>
      <c r="N108" s="143"/>
      <c r="O108" s="143"/>
      <c r="P108" s="143"/>
      <c r="Q108" s="143"/>
      <c r="R108" s="256"/>
      <c r="S108" s="25"/>
      <c r="T108" s="143"/>
      <c r="U108" s="143"/>
      <c r="V108" s="143"/>
      <c r="W108" s="143"/>
      <c r="X108" s="143"/>
      <c r="Y108" s="143"/>
      <c r="Z108" s="245"/>
      <c r="AA108" s="25"/>
      <c r="AB108" s="256"/>
      <c r="AC108" s="4"/>
      <c r="AD108" s="5"/>
    </row>
    <row r="109" spans="1:30" x14ac:dyDescent="0.4">
      <c r="A109" s="113"/>
      <c r="B109" s="196" t="s">
        <v>70</v>
      </c>
      <c r="C109" s="256"/>
      <c r="D109" s="143"/>
      <c r="E109" s="197" t="s">
        <v>19</v>
      </c>
      <c r="F109" s="143"/>
      <c r="G109" s="143"/>
      <c r="H109" s="143"/>
      <c r="I109" s="143"/>
      <c r="J109" s="143"/>
      <c r="K109" s="143"/>
      <c r="L109" s="143"/>
      <c r="M109" s="143"/>
      <c r="N109" s="143"/>
      <c r="O109" s="143"/>
      <c r="P109" s="143"/>
      <c r="Q109" s="143"/>
      <c r="R109" s="256"/>
      <c r="S109" s="25"/>
      <c r="T109" s="143"/>
      <c r="U109" s="143"/>
      <c r="V109" s="143"/>
      <c r="W109" s="143"/>
      <c r="X109" s="143"/>
      <c r="Y109" s="143"/>
      <c r="Z109" s="245"/>
      <c r="AA109" s="115"/>
      <c r="AB109" s="256"/>
      <c r="AC109" s="4"/>
      <c r="AD109" s="5"/>
    </row>
    <row r="110" spans="1:30" x14ac:dyDescent="0.4">
      <c r="A110" s="113"/>
      <c r="B110" s="196" t="s">
        <v>67</v>
      </c>
      <c r="C110" s="256">
        <v>515655.42</v>
      </c>
      <c r="D110" s="144">
        <v>42971.285000000003</v>
      </c>
      <c r="E110" s="197" t="s">
        <v>19</v>
      </c>
      <c r="F110" s="144">
        <v>36829</v>
      </c>
      <c r="G110" s="144">
        <v>36829</v>
      </c>
      <c r="H110" s="144">
        <v>36829</v>
      </c>
      <c r="I110" s="144">
        <v>36829</v>
      </c>
      <c r="J110" s="144">
        <v>36829</v>
      </c>
      <c r="K110" s="144">
        <v>36829</v>
      </c>
      <c r="L110" s="144">
        <v>36829</v>
      </c>
      <c r="M110" s="144">
        <v>36829</v>
      </c>
      <c r="N110" s="144">
        <v>36829</v>
      </c>
      <c r="O110" s="144">
        <v>36829</v>
      </c>
      <c r="P110" s="144">
        <v>36829</v>
      </c>
      <c r="Q110" s="144">
        <v>36829</v>
      </c>
      <c r="R110" s="256">
        <v>441948</v>
      </c>
      <c r="S110" s="25"/>
      <c r="T110" s="144">
        <v>36829</v>
      </c>
      <c r="U110" s="144">
        <v>36829</v>
      </c>
      <c r="V110" s="144">
        <v>36829</v>
      </c>
      <c r="W110" s="144">
        <v>36829</v>
      </c>
      <c r="X110" s="144">
        <v>36829</v>
      </c>
      <c r="Y110" s="144">
        <v>36829</v>
      </c>
      <c r="Z110" s="245">
        <v>220974</v>
      </c>
      <c r="AA110" s="25"/>
      <c r="AB110" s="266">
        <f>SUM(F110:K110)</f>
        <v>220974</v>
      </c>
      <c r="AC110" s="224">
        <f>+Z110-AB110</f>
        <v>0</v>
      </c>
      <c r="AD110" s="5">
        <f t="shared" si="20"/>
        <v>0</v>
      </c>
    </row>
    <row r="111" spans="1:30" x14ac:dyDescent="0.4">
      <c r="A111" s="113" t="s">
        <v>66</v>
      </c>
      <c r="B111" s="196" t="s">
        <v>69</v>
      </c>
      <c r="C111" s="257">
        <v>63830</v>
      </c>
      <c r="D111" s="145">
        <v>5319.166666666667</v>
      </c>
      <c r="E111" s="197" t="s">
        <v>19</v>
      </c>
      <c r="F111" s="145">
        <v>4910</v>
      </c>
      <c r="G111" s="145">
        <v>4910</v>
      </c>
      <c r="H111" s="145">
        <v>4910</v>
      </c>
      <c r="I111" s="145">
        <v>4910</v>
      </c>
      <c r="J111" s="145">
        <v>4910</v>
      </c>
      <c r="K111" s="145">
        <v>4910</v>
      </c>
      <c r="L111" s="145">
        <v>4910</v>
      </c>
      <c r="M111" s="145">
        <v>4910</v>
      </c>
      <c r="N111" s="145">
        <v>4910</v>
      </c>
      <c r="O111" s="145">
        <v>4910</v>
      </c>
      <c r="P111" s="145">
        <v>4910</v>
      </c>
      <c r="Q111" s="145">
        <v>4910</v>
      </c>
      <c r="R111" s="257">
        <v>58920</v>
      </c>
      <c r="S111" s="117"/>
      <c r="T111" s="145">
        <v>4910</v>
      </c>
      <c r="U111" s="145">
        <v>4910</v>
      </c>
      <c r="V111" s="145">
        <v>4910</v>
      </c>
      <c r="W111" s="145">
        <v>4910</v>
      </c>
      <c r="X111" s="145">
        <v>4910</v>
      </c>
      <c r="Y111" s="145">
        <v>4910</v>
      </c>
      <c r="Z111" s="246">
        <f>SUM(T111:Y111)</f>
        <v>29460</v>
      </c>
      <c r="AA111" s="115"/>
      <c r="AB111" s="267">
        <f>SUM(F111:K111)</f>
        <v>29460</v>
      </c>
      <c r="AC111" s="11">
        <f>+Z111-AB111</f>
        <v>0</v>
      </c>
      <c r="AD111" s="5">
        <f t="shared" ref="AD111" si="21">+AC111/AB111</f>
        <v>0</v>
      </c>
    </row>
    <row r="112" spans="1:30" x14ac:dyDescent="0.4">
      <c r="A112" s="113" t="s">
        <v>68</v>
      </c>
      <c r="B112" s="196" t="s">
        <v>70</v>
      </c>
      <c r="C112" s="257">
        <v>579485.42000000004</v>
      </c>
      <c r="D112" s="145">
        <v>48290.451666666668</v>
      </c>
      <c r="E112" s="197" t="s">
        <v>19</v>
      </c>
      <c r="F112" s="145">
        <v>41739</v>
      </c>
      <c r="G112" s="145">
        <v>41739</v>
      </c>
      <c r="H112" s="145">
        <v>41739</v>
      </c>
      <c r="I112" s="145">
        <v>41739</v>
      </c>
      <c r="J112" s="145">
        <v>41739</v>
      </c>
      <c r="K112" s="145">
        <v>41739</v>
      </c>
      <c r="L112" s="145">
        <v>41739</v>
      </c>
      <c r="M112" s="145">
        <v>41739</v>
      </c>
      <c r="N112" s="145">
        <v>41739</v>
      </c>
      <c r="O112" s="145">
        <v>41739</v>
      </c>
      <c r="P112" s="145">
        <v>41739</v>
      </c>
      <c r="Q112" s="145">
        <v>41739</v>
      </c>
      <c r="R112" s="257">
        <v>500868</v>
      </c>
      <c r="S112" s="25"/>
      <c r="T112" s="145">
        <v>41739</v>
      </c>
      <c r="U112" s="145">
        <v>41739</v>
      </c>
      <c r="V112" s="145">
        <v>41739</v>
      </c>
      <c r="W112" s="145">
        <v>41739</v>
      </c>
      <c r="X112" s="145">
        <v>41739</v>
      </c>
      <c r="Y112" s="145">
        <f>SUM(Y110:Y111)</f>
        <v>41739</v>
      </c>
      <c r="Z112" s="246">
        <f>SUM(Z110:Z111)</f>
        <v>250434</v>
      </c>
      <c r="AA112" s="115"/>
      <c r="AB112" s="257">
        <f>SUM(AB110:AB111)</f>
        <v>250434</v>
      </c>
      <c r="AC112" s="145">
        <f>SUM(AC110:AC111)</f>
        <v>0</v>
      </c>
      <c r="AD112" s="10">
        <f t="shared" si="20"/>
        <v>0</v>
      </c>
    </row>
    <row r="113" spans="1:30" x14ac:dyDescent="0.4">
      <c r="A113" s="113"/>
      <c r="B113" s="196"/>
      <c r="C113" s="257"/>
      <c r="D113" s="146"/>
      <c r="E113" s="197" t="s">
        <v>19</v>
      </c>
      <c r="F113" s="146"/>
      <c r="G113" s="146"/>
      <c r="H113" s="146"/>
      <c r="I113" s="146"/>
      <c r="J113" s="146"/>
      <c r="K113" s="146"/>
      <c r="L113" s="146"/>
      <c r="M113" s="146"/>
      <c r="N113" s="146"/>
      <c r="O113" s="146"/>
      <c r="P113" s="146"/>
      <c r="Q113" s="146"/>
      <c r="R113" s="257"/>
      <c r="S113" s="117"/>
      <c r="T113" s="146"/>
      <c r="U113" s="146"/>
      <c r="V113" s="146"/>
      <c r="W113" s="146"/>
      <c r="X113" s="146"/>
      <c r="Y113" s="146"/>
      <c r="Z113" s="246"/>
      <c r="AA113" s="24"/>
      <c r="AB113" s="257"/>
      <c r="AC113" s="9"/>
      <c r="AD113" s="10"/>
    </row>
    <row r="114" spans="1:30" x14ac:dyDescent="0.4">
      <c r="A114" s="113"/>
      <c r="B114" s="196" t="s">
        <v>71</v>
      </c>
      <c r="C114" s="256">
        <v>3830647.45</v>
      </c>
      <c r="D114" s="144">
        <v>319220.62083333335</v>
      </c>
      <c r="E114" s="197" t="s">
        <v>19</v>
      </c>
      <c r="F114" s="144">
        <v>288645.95</v>
      </c>
      <c r="G114" s="144">
        <v>322895.46000000002</v>
      </c>
      <c r="H114" s="144">
        <v>301385.84999999998</v>
      </c>
      <c r="I114" s="144">
        <v>307260.26</v>
      </c>
      <c r="J114" s="144">
        <v>299900.83</v>
      </c>
      <c r="K114" s="144">
        <v>307316.49</v>
      </c>
      <c r="L114" s="144">
        <v>283214.74</v>
      </c>
      <c r="M114" s="144">
        <v>261995.37</v>
      </c>
      <c r="N114" s="144">
        <v>275420.24</v>
      </c>
      <c r="O114" s="144">
        <v>277233.51</v>
      </c>
      <c r="P114" s="144">
        <v>273698.69</v>
      </c>
      <c r="Q114" s="144">
        <v>289431.34999999998</v>
      </c>
      <c r="R114" s="256">
        <v>3488398.74</v>
      </c>
      <c r="S114" s="117"/>
      <c r="T114" s="144">
        <v>311165.44</v>
      </c>
      <c r="U114" s="144">
        <v>294200.68</v>
      </c>
      <c r="V114" s="144">
        <v>293389.61</v>
      </c>
      <c r="W114" s="144">
        <v>291175.65999999997</v>
      </c>
      <c r="X114" s="144">
        <v>250843.66</v>
      </c>
      <c r="Y114" s="144">
        <f>+Y107+Y112</f>
        <v>277785.16000000003</v>
      </c>
      <c r="Z114" s="245">
        <f>+Z107+Z112</f>
        <v>1718560.21</v>
      </c>
      <c r="AA114" s="25"/>
      <c r="AB114" s="256">
        <f>SUM(F114:H114)</f>
        <v>912927.26</v>
      </c>
      <c r="AC114" s="4">
        <f>+Z116-AB114</f>
        <v>-912927.26</v>
      </c>
      <c r="AD114" s="5">
        <f t="shared" si="20"/>
        <v>-1</v>
      </c>
    </row>
    <row r="115" spans="1:30" x14ac:dyDescent="0.4">
      <c r="A115" s="113"/>
      <c r="B115" s="196"/>
      <c r="C115" s="256"/>
      <c r="D115" s="143"/>
      <c r="E115" s="197" t="s">
        <v>19</v>
      </c>
      <c r="F115" s="143"/>
      <c r="G115" s="143"/>
      <c r="H115" s="143"/>
      <c r="I115" s="143"/>
      <c r="J115" s="143"/>
      <c r="K115" s="143"/>
      <c r="L115" s="143"/>
      <c r="M115" s="143"/>
      <c r="N115" s="143"/>
      <c r="O115" s="143"/>
      <c r="P115" s="143"/>
      <c r="Q115" s="143"/>
      <c r="R115" s="256"/>
      <c r="S115" s="25"/>
      <c r="T115" s="143"/>
      <c r="U115" s="143"/>
      <c r="V115" s="143"/>
      <c r="W115" s="143"/>
      <c r="X115" s="143"/>
      <c r="Y115" s="143"/>
      <c r="Z115" s="245"/>
      <c r="AA115" s="25"/>
      <c r="AB115" s="256"/>
      <c r="AC115" s="4"/>
      <c r="AD115" s="5"/>
    </row>
    <row r="116" spans="1:30" x14ac:dyDescent="0.4">
      <c r="A116" s="113"/>
      <c r="B116" s="196"/>
      <c r="C116" s="257"/>
      <c r="D116" s="146"/>
      <c r="E116" s="197" t="s">
        <v>19</v>
      </c>
      <c r="F116" s="146"/>
      <c r="G116" s="146"/>
      <c r="H116" s="146"/>
      <c r="I116" s="146"/>
      <c r="J116" s="146"/>
      <c r="K116" s="146"/>
      <c r="L116" s="146"/>
      <c r="M116" s="146"/>
      <c r="N116" s="146"/>
      <c r="O116" s="146"/>
      <c r="P116" s="146"/>
      <c r="Q116" s="146"/>
      <c r="R116" s="257"/>
      <c r="S116" s="117"/>
      <c r="T116" s="146"/>
      <c r="U116" s="146"/>
      <c r="V116" s="146"/>
      <c r="W116" s="146"/>
      <c r="X116" s="146"/>
      <c r="Y116" s="146"/>
      <c r="Z116" s="246"/>
      <c r="AA116" s="117"/>
      <c r="AB116" s="257"/>
      <c r="AC116" s="4"/>
      <c r="AD116" s="5"/>
    </row>
    <row r="117" spans="1:30" ht="15" thickBot="1" x14ac:dyDescent="0.45">
      <c r="A117" s="113"/>
      <c r="B117" s="196" t="s">
        <v>228</v>
      </c>
      <c r="C117" s="259">
        <v>-111531.73</v>
      </c>
      <c r="D117" s="147">
        <v>-9294.310833333333</v>
      </c>
      <c r="E117" s="197" t="s">
        <v>19</v>
      </c>
      <c r="F117" s="147">
        <v>132674.26999999999</v>
      </c>
      <c r="G117" s="147">
        <v>-44354.33</v>
      </c>
      <c r="H117" s="147">
        <v>-10457.01</v>
      </c>
      <c r="I117" s="147">
        <v>-171314.03</v>
      </c>
      <c r="J117" s="147">
        <v>28477.34</v>
      </c>
      <c r="K117" s="147">
        <v>-44656.42</v>
      </c>
      <c r="L117" s="147">
        <v>-161467.6</v>
      </c>
      <c r="M117" s="147">
        <v>-78801.509999999995</v>
      </c>
      <c r="N117" s="147">
        <v>33708.69</v>
      </c>
      <c r="O117" s="147">
        <v>-126388.51</v>
      </c>
      <c r="P117" s="147">
        <v>-50665.17</v>
      </c>
      <c r="Q117" s="147">
        <v>-204332.86</v>
      </c>
      <c r="R117" s="259">
        <v>-697577.14</v>
      </c>
      <c r="S117" s="117"/>
      <c r="T117" s="147">
        <v>88227.32</v>
      </c>
      <c r="U117" s="147">
        <v>-190672.45</v>
      </c>
      <c r="V117" s="147">
        <v>22559.22</v>
      </c>
      <c r="W117" s="147">
        <v>178517.25</v>
      </c>
      <c r="X117" s="147">
        <v>54511</v>
      </c>
      <c r="Y117" s="147">
        <f>+Y17-Y114</f>
        <v>-56218.250000000029</v>
      </c>
      <c r="Z117" s="249">
        <f>+Z17-Z114</f>
        <v>96924.090000000084</v>
      </c>
      <c r="AA117" s="24"/>
      <c r="AB117" s="259">
        <f>SUM(F117:K117)</f>
        <v>-109630.18000000001</v>
      </c>
      <c r="AC117" s="13">
        <f>+Z119-AB117</f>
        <v>109630.18000000001</v>
      </c>
      <c r="AD117" s="14">
        <f t="shared" si="20"/>
        <v>-1</v>
      </c>
    </row>
    <row r="118" spans="1:30" ht="15" thickTop="1" x14ac:dyDescent="0.4">
      <c r="A118" s="113"/>
      <c r="B118" s="196"/>
      <c r="C118" s="256"/>
      <c r="D118" s="143"/>
      <c r="E118" s="197" t="s">
        <v>19</v>
      </c>
      <c r="F118" s="143"/>
      <c r="G118" s="143"/>
      <c r="H118" s="143"/>
      <c r="I118" s="143"/>
      <c r="J118" s="143"/>
      <c r="K118" s="143"/>
      <c r="L118" s="143"/>
      <c r="M118" s="143"/>
      <c r="N118" s="143"/>
      <c r="O118" s="143"/>
      <c r="P118" s="143"/>
      <c r="Q118" s="143"/>
      <c r="R118" s="256"/>
      <c r="S118" s="117"/>
      <c r="T118" s="143"/>
      <c r="U118" s="143"/>
      <c r="V118" s="143"/>
      <c r="W118" s="143"/>
      <c r="X118" s="143"/>
      <c r="Y118" s="143"/>
      <c r="Z118" s="245"/>
      <c r="AA118" s="115"/>
      <c r="AB118" s="256"/>
      <c r="AC118" s="4"/>
      <c r="AD118" s="5"/>
    </row>
    <row r="119" spans="1:30" x14ac:dyDescent="0.4">
      <c r="A119" s="113"/>
      <c r="B119" s="196"/>
      <c r="C119" s="256"/>
      <c r="D119" s="143"/>
      <c r="E119" s="197" t="s">
        <v>19</v>
      </c>
      <c r="F119" s="143"/>
      <c r="G119" s="143"/>
      <c r="H119" s="143"/>
      <c r="I119" s="143"/>
      <c r="J119" s="143"/>
      <c r="K119" s="143"/>
      <c r="L119" s="143"/>
      <c r="M119" s="143"/>
      <c r="N119" s="143"/>
      <c r="O119" s="143"/>
      <c r="P119" s="143"/>
      <c r="Q119" s="143"/>
      <c r="R119" s="256"/>
      <c r="T119" s="143"/>
      <c r="U119" s="143"/>
      <c r="V119" s="143"/>
      <c r="W119" s="143"/>
      <c r="X119" s="143"/>
      <c r="Y119" s="143"/>
      <c r="Z119" s="245"/>
      <c r="AA119" s="117"/>
      <c r="AC119" s="4"/>
      <c r="AD119" s="5"/>
    </row>
    <row r="120" spans="1:30" x14ac:dyDescent="0.4">
      <c r="A120" s="113"/>
      <c r="B120" s="196"/>
      <c r="C120" s="256"/>
      <c r="D120" s="143"/>
      <c r="E120" s="197" t="s">
        <v>19</v>
      </c>
      <c r="F120" s="143"/>
      <c r="G120" s="143"/>
      <c r="H120" s="143"/>
      <c r="I120" s="143"/>
      <c r="J120" s="143"/>
      <c r="K120" s="143"/>
      <c r="L120" s="143"/>
      <c r="M120" s="143"/>
      <c r="N120" s="143"/>
      <c r="O120" s="143"/>
      <c r="P120" s="143"/>
      <c r="Q120" s="143"/>
      <c r="R120" s="256"/>
      <c r="T120" s="143"/>
      <c r="U120" s="143"/>
      <c r="V120" s="143"/>
      <c r="W120" s="143"/>
      <c r="X120" s="143"/>
      <c r="Y120" s="143"/>
      <c r="Z120" s="245"/>
      <c r="AA120" s="5"/>
    </row>
    <row r="121" spans="1:30" x14ac:dyDescent="0.4">
      <c r="A121" s="113"/>
      <c r="T121" s="143"/>
      <c r="U121" s="143"/>
      <c r="V121" s="143"/>
      <c r="W121" s="143"/>
      <c r="X121" s="143"/>
      <c r="Y121" s="143"/>
      <c r="Z121" s="245"/>
      <c r="AA121" s="5"/>
    </row>
    <row r="122" spans="1:30" x14ac:dyDescent="0.4">
      <c r="A122" s="113"/>
      <c r="T122" s="143"/>
      <c r="U122" s="143"/>
      <c r="V122" s="143"/>
      <c r="W122" s="143"/>
      <c r="X122" s="143"/>
      <c r="Y122" s="143"/>
      <c r="Z122" s="245"/>
      <c r="AA122" s="5"/>
    </row>
    <row r="123" spans="1:30" x14ac:dyDescent="0.4">
      <c r="A123" s="113"/>
      <c r="T123" s="143"/>
      <c r="U123" s="143"/>
      <c r="V123" s="143"/>
      <c r="W123" s="143"/>
      <c r="X123" s="143"/>
      <c r="Y123" s="143"/>
      <c r="Z123" s="245"/>
      <c r="AC123" s="4"/>
      <c r="AD123" s="5"/>
    </row>
    <row r="124" spans="1:30" x14ac:dyDescent="0.4">
      <c r="A124" s="113"/>
      <c r="T124" s="143"/>
      <c r="U124" s="143"/>
      <c r="V124" s="143"/>
      <c r="W124" s="143"/>
      <c r="X124" s="143"/>
      <c r="Y124" s="143"/>
      <c r="Z124" s="245"/>
      <c r="AC124" s="4"/>
      <c r="AD124" s="5"/>
    </row>
    <row r="125" spans="1:30" x14ac:dyDescent="0.4">
      <c r="A125" s="113"/>
      <c r="T125" s="143"/>
      <c r="U125" s="143"/>
      <c r="V125" s="143"/>
      <c r="W125" s="143"/>
      <c r="X125" s="143"/>
      <c r="Y125" s="143"/>
      <c r="Z125" s="245"/>
      <c r="AC125" s="4"/>
      <c r="AD125" s="5"/>
    </row>
    <row r="126" spans="1:30" x14ac:dyDescent="0.4">
      <c r="A126" s="113"/>
      <c r="T126" s="143"/>
      <c r="U126" s="143"/>
      <c r="V126" s="143"/>
      <c r="W126" s="143"/>
      <c r="X126" s="143"/>
      <c r="Y126" s="143"/>
      <c r="Z126" s="245"/>
      <c r="AC126" s="4"/>
      <c r="AD126" s="5"/>
    </row>
    <row r="127" spans="1:30" x14ac:dyDescent="0.4">
      <c r="A127" s="113"/>
      <c r="T127" s="25"/>
      <c r="U127" s="4"/>
      <c r="V127" s="4"/>
      <c r="W127" s="4"/>
      <c r="X127" s="4"/>
      <c r="Y127" s="4"/>
      <c r="AC127" s="4"/>
      <c r="AD127" s="5"/>
    </row>
    <row r="128" spans="1:30" x14ac:dyDescent="0.4">
      <c r="A128" s="113"/>
      <c r="T128" s="115"/>
      <c r="U128" s="4"/>
      <c r="V128" s="4"/>
      <c r="W128" s="4"/>
      <c r="X128" s="4"/>
      <c r="Y128" s="4"/>
      <c r="AC128" s="4"/>
      <c r="AD128" s="5"/>
    </row>
    <row r="129" spans="1:30" x14ac:dyDescent="0.4">
      <c r="A129" s="113"/>
      <c r="T129" s="115"/>
      <c r="U129" s="4"/>
      <c r="V129" s="4"/>
      <c r="W129" s="4"/>
      <c r="X129" s="4"/>
      <c r="Y129" s="4"/>
      <c r="AC129" s="4"/>
      <c r="AD129" s="5"/>
    </row>
    <row r="130" spans="1:30" x14ac:dyDescent="0.4">
      <c r="T130" s="143"/>
      <c r="U130" s="143"/>
      <c r="V130" s="143"/>
      <c r="W130" s="143"/>
      <c r="X130" s="143"/>
      <c r="Y130" s="143"/>
      <c r="Z130" s="245"/>
      <c r="AC130" s="4"/>
      <c r="AD130" s="5"/>
    </row>
    <row r="131" spans="1:30" x14ac:dyDescent="0.4">
      <c r="T131" s="143"/>
      <c r="U131" s="143"/>
      <c r="V131" s="143"/>
      <c r="W131" s="143"/>
      <c r="X131" s="143"/>
      <c r="Y131" s="143"/>
      <c r="Z131" s="245"/>
      <c r="AC131" s="4"/>
      <c r="AD131" s="5"/>
    </row>
    <row r="132" spans="1:30" x14ac:dyDescent="0.4">
      <c r="T132" s="208"/>
      <c r="U132" s="208"/>
      <c r="V132" s="208"/>
      <c r="W132" s="208"/>
      <c r="X132" s="208"/>
      <c r="Y132" s="208"/>
      <c r="Z132" s="247"/>
      <c r="AC132" s="4"/>
      <c r="AD132" s="5"/>
    </row>
    <row r="133" spans="1:30" x14ac:dyDescent="0.4">
      <c r="T133" s="208"/>
      <c r="U133" s="208"/>
      <c r="V133" s="208"/>
      <c r="W133" s="208"/>
      <c r="X133" s="208"/>
      <c r="Y133" s="208"/>
      <c r="Z133" s="247"/>
      <c r="AC133" s="4"/>
      <c r="AD133" s="5"/>
    </row>
    <row r="134" spans="1:30" x14ac:dyDescent="0.4">
      <c r="T134" s="208"/>
      <c r="U134" s="208"/>
      <c r="V134" s="208"/>
      <c r="W134" s="208"/>
      <c r="X134" s="208"/>
      <c r="Y134" s="208"/>
      <c r="Z134" s="247"/>
      <c r="AC134" s="4"/>
      <c r="AD134" s="5"/>
    </row>
    <row r="135" spans="1:30" x14ac:dyDescent="0.4">
      <c r="T135" s="209"/>
      <c r="U135" s="209"/>
      <c r="V135" s="209"/>
      <c r="W135" s="209"/>
      <c r="X135" s="209"/>
      <c r="Y135" s="209"/>
      <c r="Z135" s="247"/>
      <c r="AC135" s="4"/>
      <c r="AD135" s="5"/>
    </row>
    <row r="136" spans="1:30" x14ac:dyDescent="0.4">
      <c r="T136" s="208"/>
      <c r="U136" s="208"/>
      <c r="V136" s="208"/>
      <c r="W136" s="208"/>
      <c r="X136" s="208"/>
      <c r="Y136" s="208"/>
      <c r="Z136" s="247"/>
      <c r="AC136" s="4"/>
      <c r="AD136" s="5"/>
    </row>
    <row r="137" spans="1:30" x14ac:dyDescent="0.4">
      <c r="T137" s="209"/>
      <c r="U137" s="209"/>
      <c r="V137" s="209"/>
      <c r="W137" s="209"/>
      <c r="X137" s="209"/>
      <c r="Y137" s="209"/>
      <c r="Z137" s="247"/>
      <c r="AC137" s="4"/>
      <c r="AD137" s="5"/>
    </row>
    <row r="138" spans="1:30" x14ac:dyDescent="0.4">
      <c r="T138" s="209"/>
      <c r="U138" s="209"/>
      <c r="V138" s="209"/>
      <c r="W138" s="209"/>
      <c r="X138" s="209"/>
      <c r="Y138" s="209"/>
      <c r="Z138" s="247"/>
      <c r="AC138" s="4"/>
      <c r="AD138" s="5"/>
    </row>
    <row r="139" spans="1:30" x14ac:dyDescent="0.4">
      <c r="T139" s="208"/>
      <c r="U139" s="208"/>
      <c r="V139" s="208"/>
      <c r="W139" s="208"/>
      <c r="X139" s="208"/>
      <c r="Y139" s="208"/>
      <c r="Z139" s="247"/>
      <c r="AC139" s="4"/>
      <c r="AD139" s="5"/>
    </row>
    <row r="140" spans="1:30" x14ac:dyDescent="0.4">
      <c r="T140" s="209"/>
      <c r="U140" s="209"/>
      <c r="V140" s="209"/>
      <c r="W140" s="209"/>
      <c r="X140" s="209"/>
      <c r="Y140" s="209"/>
      <c r="Z140" s="247"/>
      <c r="AC140" s="4"/>
      <c r="AD140" s="5"/>
    </row>
    <row r="141" spans="1:30" x14ac:dyDescent="0.4">
      <c r="T141" s="209"/>
      <c r="U141" s="209"/>
      <c r="V141" s="209"/>
      <c r="W141" s="209"/>
      <c r="X141" s="209"/>
      <c r="Y141" s="209"/>
      <c r="Z141" s="247"/>
      <c r="AC141" s="4"/>
      <c r="AD141" s="5"/>
    </row>
    <row r="142" spans="1:30" x14ac:dyDescent="0.4">
      <c r="T142" s="143"/>
      <c r="U142" s="143"/>
      <c r="V142" s="143"/>
      <c r="W142" s="143"/>
      <c r="X142" s="143"/>
      <c r="Y142" s="143"/>
      <c r="Z142" s="245"/>
      <c r="AC142" s="4"/>
      <c r="AD142" s="5"/>
    </row>
    <row r="143" spans="1:30" x14ac:dyDescent="0.4">
      <c r="AC143" s="4"/>
      <c r="AD143" s="5"/>
    </row>
    <row r="144" spans="1:30" x14ac:dyDescent="0.4">
      <c r="AC144" s="4"/>
      <c r="AD144" s="5"/>
    </row>
    <row r="145" spans="29:30" x14ac:dyDescent="0.4">
      <c r="AC145" s="4"/>
      <c r="AD145" s="5"/>
    </row>
    <row r="146" spans="29:30" x14ac:dyDescent="0.4">
      <c r="AC146" s="4"/>
      <c r="AD146" s="5"/>
    </row>
    <row r="147" spans="29:30" x14ac:dyDescent="0.4">
      <c r="AC147" s="4"/>
      <c r="AD147" s="5"/>
    </row>
    <row r="148" spans="29:30" x14ac:dyDescent="0.4">
      <c r="AC148" s="4"/>
      <c r="AD148" s="5"/>
    </row>
    <row r="149" spans="29:30" x14ac:dyDescent="0.4">
      <c r="AC149" s="4"/>
      <c r="AD149" s="5"/>
    </row>
    <row r="150" spans="29:30" x14ac:dyDescent="0.4">
      <c r="AC150" s="4"/>
      <c r="AD150" s="5"/>
    </row>
    <row r="151" spans="29:30" x14ac:dyDescent="0.4">
      <c r="AC151" s="4"/>
      <c r="AD151" s="5"/>
    </row>
    <row r="152" spans="29:30" x14ac:dyDescent="0.4">
      <c r="AC152" s="4"/>
      <c r="AD152" s="5"/>
    </row>
    <row r="153" spans="29:30" x14ac:dyDescent="0.4">
      <c r="AC153" s="4"/>
      <c r="AD153" s="5"/>
    </row>
    <row r="154" spans="29:30" x14ac:dyDescent="0.4">
      <c r="AC154" s="4"/>
      <c r="AD154" s="5"/>
    </row>
    <row r="155" spans="29:30" x14ac:dyDescent="0.4">
      <c r="AC155" s="4"/>
      <c r="AD155" s="5"/>
    </row>
    <row r="156" spans="29:30" x14ac:dyDescent="0.4">
      <c r="AC156" s="4"/>
      <c r="AD156" s="5"/>
    </row>
    <row r="157" spans="29:30" x14ac:dyDescent="0.4">
      <c r="AC157" s="4"/>
      <c r="AD157" s="5"/>
    </row>
    <row r="158" spans="29:30" x14ac:dyDescent="0.4">
      <c r="AC158" s="4"/>
      <c r="AD158" s="5"/>
    </row>
    <row r="159" spans="29:30" x14ac:dyDescent="0.4">
      <c r="AC159" s="4"/>
      <c r="AD159" s="5"/>
    </row>
    <row r="160" spans="29:30" x14ac:dyDescent="0.4">
      <c r="AC160" s="4"/>
      <c r="AD160" s="5"/>
    </row>
    <row r="161" spans="29:30" x14ac:dyDescent="0.4">
      <c r="AC161" s="4"/>
      <c r="AD161" s="5"/>
    </row>
    <row r="162" spans="29:30" x14ac:dyDescent="0.4">
      <c r="AC162" s="4"/>
      <c r="AD162" s="5"/>
    </row>
    <row r="163" spans="29:30" x14ac:dyDescent="0.4">
      <c r="AC163" s="4"/>
      <c r="AD163" s="5"/>
    </row>
    <row r="164" spans="29:30" x14ac:dyDescent="0.4">
      <c r="AC164" s="4"/>
      <c r="AD164" s="5"/>
    </row>
    <row r="165" spans="29:30" x14ac:dyDescent="0.4">
      <c r="AC165" s="4"/>
      <c r="AD165" s="5"/>
    </row>
    <row r="166" spans="29:30" x14ac:dyDescent="0.4">
      <c r="AC166" s="4"/>
      <c r="AD166" s="5"/>
    </row>
    <row r="167" spans="29:30" x14ac:dyDescent="0.4">
      <c r="AC167" s="4"/>
      <c r="AD167" s="5"/>
    </row>
    <row r="168" spans="29:30" x14ac:dyDescent="0.4">
      <c r="AC168" s="4"/>
      <c r="AD168" s="5"/>
    </row>
    <row r="169" spans="29:30" x14ac:dyDescent="0.4">
      <c r="AC169" s="4"/>
      <c r="AD169" s="5"/>
    </row>
    <row r="170" spans="29:30" x14ac:dyDescent="0.4">
      <c r="AC170" s="4"/>
      <c r="AD170" s="5"/>
    </row>
    <row r="171" spans="29:30" x14ac:dyDescent="0.4">
      <c r="AC171" s="4"/>
      <c r="AD171" s="5"/>
    </row>
    <row r="172" spans="29:30" x14ac:dyDescent="0.4">
      <c r="AC172" s="4"/>
      <c r="AD172" s="5"/>
    </row>
    <row r="173" spans="29:30" x14ac:dyDescent="0.4">
      <c r="AC173" s="4"/>
      <c r="AD173" s="5"/>
    </row>
    <row r="174" spans="29:30" x14ac:dyDescent="0.4">
      <c r="AC174" s="4"/>
      <c r="AD174" s="5"/>
    </row>
    <row r="175" spans="29:30" x14ac:dyDescent="0.4">
      <c r="AC175" s="4"/>
      <c r="AD175" s="5"/>
    </row>
    <row r="176" spans="29:30" x14ac:dyDescent="0.4">
      <c r="AC176" s="4"/>
      <c r="AD176" s="5"/>
    </row>
    <row r="177" spans="29:30" x14ac:dyDescent="0.4">
      <c r="AC177" s="4"/>
      <c r="AD177" s="5"/>
    </row>
    <row r="178" spans="29:30" x14ac:dyDescent="0.4">
      <c r="AC178" s="4"/>
      <c r="AD178" s="5"/>
    </row>
    <row r="179" spans="29:30" x14ac:dyDescent="0.4">
      <c r="AC179" s="4"/>
      <c r="AD179" s="5"/>
    </row>
    <row r="180" spans="29:30" x14ac:dyDescent="0.4">
      <c r="AC180" s="4"/>
      <c r="AD180" s="5"/>
    </row>
    <row r="181" spans="29:30" x14ac:dyDescent="0.4">
      <c r="AC181" s="4"/>
      <c r="AD181" s="5"/>
    </row>
    <row r="182" spans="29:30" x14ac:dyDescent="0.4">
      <c r="AC182" s="4"/>
      <c r="AD182" s="5"/>
    </row>
    <row r="183" spans="29:30" x14ac:dyDescent="0.4">
      <c r="AC183" s="4"/>
      <c r="AD183" s="5"/>
    </row>
    <row r="184" spans="29:30" x14ac:dyDescent="0.4">
      <c r="AC184" s="4"/>
      <c r="AD184" s="5"/>
    </row>
    <row r="185" spans="29:30" x14ac:dyDescent="0.4">
      <c r="AC185" s="4"/>
      <c r="AD185" s="5"/>
    </row>
    <row r="186" spans="29:30" x14ac:dyDescent="0.4">
      <c r="AC186" s="4"/>
      <c r="AD186" s="5"/>
    </row>
    <row r="187" spans="29:30" x14ac:dyDescent="0.4">
      <c r="AC187" s="4"/>
      <c r="AD187" s="5"/>
    </row>
    <row r="188" spans="29:30" x14ac:dyDescent="0.4">
      <c r="AC188" s="4"/>
      <c r="AD188" s="5"/>
    </row>
    <row r="189" spans="29:30" x14ac:dyDescent="0.4">
      <c r="AC189" s="4"/>
      <c r="AD189" s="5"/>
    </row>
    <row r="190" spans="29:30" x14ac:dyDescent="0.4">
      <c r="AC190" s="4"/>
      <c r="AD190" s="5"/>
    </row>
    <row r="191" spans="29:30" x14ac:dyDescent="0.4">
      <c r="AC191" s="4"/>
      <c r="AD191" s="5"/>
    </row>
    <row r="192" spans="29:30" x14ac:dyDescent="0.4">
      <c r="AC192" s="4"/>
      <c r="AD192" s="5"/>
    </row>
    <row r="193" spans="29:30" x14ac:dyDescent="0.4">
      <c r="AC193" s="4"/>
      <c r="AD193" s="5"/>
    </row>
    <row r="194" spans="29:30" x14ac:dyDescent="0.4">
      <c r="AC194" s="4"/>
      <c r="AD194" s="5"/>
    </row>
    <row r="195" spans="29:30" x14ac:dyDescent="0.4">
      <c r="AC195" s="4"/>
      <c r="AD195" s="5"/>
    </row>
    <row r="196" spans="29:30" x14ac:dyDescent="0.4">
      <c r="AC196" s="4"/>
      <c r="AD196" s="5"/>
    </row>
    <row r="197" spans="29:30" x14ac:dyDescent="0.4">
      <c r="AC197" s="4"/>
      <c r="AD197" s="5"/>
    </row>
    <row r="198" spans="29:30" x14ac:dyDescent="0.4">
      <c r="AC198" s="4"/>
      <c r="AD198" s="5"/>
    </row>
    <row r="199" spans="29:30" x14ac:dyDescent="0.4">
      <c r="AC199" s="4"/>
      <c r="AD199" s="5"/>
    </row>
    <row r="200" spans="29:30" x14ac:dyDescent="0.4">
      <c r="AC200" s="4"/>
      <c r="AD200" s="5"/>
    </row>
    <row r="201" spans="29:30" x14ac:dyDescent="0.4">
      <c r="AC201" s="4"/>
      <c r="AD201" s="5"/>
    </row>
    <row r="202" spans="29:30" x14ac:dyDescent="0.4">
      <c r="AC202" s="4"/>
      <c r="AD202" s="5"/>
    </row>
    <row r="203" spans="29:30" x14ac:dyDescent="0.4">
      <c r="AC203" s="4"/>
      <c r="AD203" s="5"/>
    </row>
    <row r="204" spans="29:30" x14ac:dyDescent="0.4">
      <c r="AC204" s="4"/>
      <c r="AD204" s="5"/>
    </row>
    <row r="205" spans="29:30" x14ac:dyDescent="0.4">
      <c r="AC205" s="4"/>
      <c r="AD205" s="5"/>
    </row>
    <row r="206" spans="29:30" x14ac:dyDescent="0.4">
      <c r="AC206" s="4"/>
      <c r="AD206" s="5"/>
    </row>
    <row r="207" spans="29:30" x14ac:dyDescent="0.4">
      <c r="AC207" s="4"/>
      <c r="AD207" s="5"/>
    </row>
    <row r="208" spans="29:30" x14ac:dyDescent="0.4">
      <c r="AC208" s="4"/>
      <c r="AD208" s="5"/>
    </row>
    <row r="209" spans="29:30" x14ac:dyDescent="0.4">
      <c r="AC209" s="4"/>
      <c r="AD209" s="5"/>
    </row>
    <row r="210" spans="29:30" x14ac:dyDescent="0.4">
      <c r="AC210" s="4"/>
      <c r="AD210" s="5"/>
    </row>
    <row r="211" spans="29:30" x14ac:dyDescent="0.4">
      <c r="AC211" s="4"/>
      <c r="AD211" s="5"/>
    </row>
    <row r="212" spans="29:30" x14ac:dyDescent="0.4">
      <c r="AC212" s="4"/>
      <c r="AD212" s="5"/>
    </row>
    <row r="213" spans="29:30" x14ac:dyDescent="0.4">
      <c r="AC213" s="4"/>
      <c r="AD213" s="5"/>
    </row>
    <row r="214" spans="29:30" x14ac:dyDescent="0.4">
      <c r="AC214" s="4"/>
      <c r="AD214" s="5"/>
    </row>
    <row r="215" spans="29:30" x14ac:dyDescent="0.4">
      <c r="AC215" s="4"/>
      <c r="AD215" s="5"/>
    </row>
    <row r="216" spans="29:30" x14ac:dyDescent="0.4">
      <c r="AC216" s="4"/>
      <c r="AD216" s="5"/>
    </row>
    <row r="217" spans="29:30" x14ac:dyDescent="0.4">
      <c r="AC217" s="4"/>
      <c r="AD217" s="5"/>
    </row>
    <row r="218" spans="29:30" x14ac:dyDescent="0.4">
      <c r="AC218" s="4"/>
      <c r="AD218" s="5"/>
    </row>
    <row r="219" spans="29:30" x14ac:dyDescent="0.4">
      <c r="AC219" s="4"/>
      <c r="AD219" s="5"/>
    </row>
    <row r="220" spans="29:30" x14ac:dyDescent="0.4">
      <c r="AC220" s="4"/>
      <c r="AD220" s="5"/>
    </row>
    <row r="221" spans="29:30" x14ac:dyDescent="0.4">
      <c r="AC221" s="4"/>
      <c r="AD221" s="5"/>
    </row>
    <row r="222" spans="29:30" x14ac:dyDescent="0.4">
      <c r="AC222" s="4"/>
      <c r="AD222" s="5"/>
    </row>
    <row r="223" spans="29:30" x14ac:dyDescent="0.4">
      <c r="AC223" s="4"/>
      <c r="AD223" s="5"/>
    </row>
    <row r="224" spans="29:30" x14ac:dyDescent="0.4">
      <c r="AC224" s="4"/>
      <c r="AD224" s="5"/>
    </row>
    <row r="225" spans="29:30" x14ac:dyDescent="0.4">
      <c r="AC225" s="4"/>
      <c r="AD225" s="5"/>
    </row>
    <row r="226" spans="29:30" x14ac:dyDescent="0.4">
      <c r="AC226" s="4"/>
      <c r="AD226" s="5"/>
    </row>
    <row r="227" spans="29:30" x14ac:dyDescent="0.4">
      <c r="AC227" s="4"/>
      <c r="AD227" s="5"/>
    </row>
    <row r="228" spans="29:30" x14ac:dyDescent="0.4">
      <c r="AC228" s="4"/>
      <c r="AD228" s="5"/>
    </row>
    <row r="229" spans="29:30" x14ac:dyDescent="0.4">
      <c r="AC229" s="4"/>
      <c r="AD229" s="5"/>
    </row>
    <row r="230" spans="29:30" x14ac:dyDescent="0.4">
      <c r="AC230" s="4"/>
      <c r="AD230" s="5"/>
    </row>
    <row r="231" spans="29:30" x14ac:dyDescent="0.4">
      <c r="AC231" s="4"/>
      <c r="AD231" s="5"/>
    </row>
    <row r="232" spans="29:30" x14ac:dyDescent="0.4">
      <c r="AC232" s="4"/>
      <c r="AD232" s="5"/>
    </row>
    <row r="233" spans="29:30" x14ac:dyDescent="0.4">
      <c r="AC233" s="4"/>
      <c r="AD233" s="5"/>
    </row>
    <row r="234" spans="29:30" x14ac:dyDescent="0.4">
      <c r="AC234" s="4"/>
      <c r="AD234" s="5"/>
    </row>
    <row r="235" spans="29:30" x14ac:dyDescent="0.4">
      <c r="AC235" s="4"/>
      <c r="AD235" s="5"/>
    </row>
    <row r="236" spans="29:30" x14ac:dyDescent="0.4">
      <c r="AC236" s="4"/>
      <c r="AD236" s="5"/>
    </row>
    <row r="237" spans="29:30" x14ac:dyDescent="0.4">
      <c r="AC237" s="4"/>
      <c r="AD237" s="5"/>
    </row>
    <row r="238" spans="29:30" x14ac:dyDescent="0.4">
      <c r="AC238" s="4"/>
      <c r="AD238" s="5"/>
    </row>
    <row r="239" spans="29:30" x14ac:dyDescent="0.4">
      <c r="AC239" s="4"/>
      <c r="AD239" s="5"/>
    </row>
    <row r="240" spans="29:30" x14ac:dyDescent="0.4">
      <c r="AC240" s="4"/>
      <c r="AD240" s="5"/>
    </row>
    <row r="241" spans="29:30" x14ac:dyDescent="0.4">
      <c r="AC241" s="4"/>
      <c r="AD241" s="5"/>
    </row>
    <row r="242" spans="29:30" x14ac:dyDescent="0.4">
      <c r="AC242" s="4"/>
      <c r="AD242" s="5"/>
    </row>
    <row r="243" spans="29:30" x14ac:dyDescent="0.4">
      <c r="AC243" s="4"/>
      <c r="AD243" s="5"/>
    </row>
    <row r="244" spans="29:30" x14ac:dyDescent="0.4">
      <c r="AC244" s="4"/>
      <c r="AD244" s="5"/>
    </row>
    <row r="245" spans="29:30" x14ac:dyDescent="0.4">
      <c r="AC245" s="4"/>
      <c r="AD245" s="5"/>
    </row>
    <row r="246" spans="29:30" x14ac:dyDescent="0.4">
      <c r="AC246" s="4"/>
      <c r="AD246" s="5"/>
    </row>
    <row r="247" spans="29:30" x14ac:dyDescent="0.4">
      <c r="AC247" s="4"/>
      <c r="AD247" s="5"/>
    </row>
    <row r="248" spans="29:30" x14ac:dyDescent="0.4">
      <c r="AC248" s="4"/>
      <c r="AD248" s="5"/>
    </row>
    <row r="249" spans="29:30" x14ac:dyDescent="0.4">
      <c r="AC249" s="4"/>
      <c r="AD249" s="5"/>
    </row>
    <row r="250" spans="29:30" x14ac:dyDescent="0.4">
      <c r="AC250" s="4"/>
      <c r="AD250" s="5"/>
    </row>
    <row r="251" spans="29:30" x14ac:dyDescent="0.4">
      <c r="AC251" s="4"/>
      <c r="AD251" s="5"/>
    </row>
    <row r="252" spans="29:30" x14ac:dyDescent="0.4">
      <c r="AC252" s="4"/>
      <c r="AD252" s="5"/>
    </row>
    <row r="253" spans="29:30" x14ac:dyDescent="0.4">
      <c r="AC253" s="4"/>
      <c r="AD253" s="5"/>
    </row>
    <row r="254" spans="29:30" x14ac:dyDescent="0.4">
      <c r="AC254" s="4"/>
      <c r="AD254" s="5"/>
    </row>
    <row r="255" spans="29:30" x14ac:dyDescent="0.4">
      <c r="AC255" s="4"/>
      <c r="AD255" s="5"/>
    </row>
    <row r="256" spans="29:30" x14ac:dyDescent="0.4">
      <c r="AC256" s="4"/>
      <c r="AD256" s="5"/>
    </row>
    <row r="257" spans="29:30" x14ac:dyDescent="0.4">
      <c r="AC257" s="4"/>
      <c r="AD257" s="5"/>
    </row>
    <row r="258" spans="29:30" x14ac:dyDescent="0.4">
      <c r="AC258" s="4"/>
      <c r="AD258" s="5"/>
    </row>
    <row r="259" spans="29:30" x14ac:dyDescent="0.4">
      <c r="AC259" s="4"/>
      <c r="AD259" s="5"/>
    </row>
    <row r="260" spans="29:30" x14ac:dyDescent="0.4">
      <c r="AC260" s="4"/>
      <c r="AD260" s="5"/>
    </row>
    <row r="261" spans="29:30" x14ac:dyDescent="0.4">
      <c r="AC261" s="4"/>
      <c r="AD261" s="5"/>
    </row>
    <row r="262" spans="29:30" x14ac:dyDescent="0.4">
      <c r="AC262" s="4"/>
      <c r="AD262" s="5"/>
    </row>
    <row r="263" spans="29:30" x14ac:dyDescent="0.4">
      <c r="AC263" s="4"/>
      <c r="AD263" s="5"/>
    </row>
    <row r="264" spans="29:30" x14ac:dyDescent="0.4">
      <c r="AC264" s="4"/>
      <c r="AD264" s="5"/>
    </row>
    <row r="265" spans="29:30" x14ac:dyDescent="0.4">
      <c r="AC265" s="4"/>
      <c r="AD265" s="5"/>
    </row>
    <row r="266" spans="29:30" x14ac:dyDescent="0.4">
      <c r="AC266" s="4"/>
      <c r="AD266" s="5"/>
    </row>
    <row r="267" spans="29:30" x14ac:dyDescent="0.4">
      <c r="AC267" s="4"/>
      <c r="AD267" s="5"/>
    </row>
    <row r="268" spans="29:30" x14ac:dyDescent="0.4">
      <c r="AC268" s="4"/>
      <c r="AD268" s="5"/>
    </row>
    <row r="269" spans="29:30" x14ac:dyDescent="0.4">
      <c r="AC269" s="4"/>
      <c r="AD269" s="5"/>
    </row>
    <row r="270" spans="29:30" x14ac:dyDescent="0.4">
      <c r="AC270" s="4"/>
      <c r="AD270" s="5"/>
    </row>
    <row r="271" spans="29:30" x14ac:dyDescent="0.4">
      <c r="AC271" s="4"/>
      <c r="AD271" s="5"/>
    </row>
    <row r="272" spans="29:30" x14ac:dyDescent="0.4">
      <c r="AC272" s="4"/>
      <c r="AD272" s="5"/>
    </row>
    <row r="273" spans="29:30" x14ac:dyDescent="0.4">
      <c r="AC273" s="4"/>
      <c r="AD273" s="5"/>
    </row>
    <row r="274" spans="29:30" x14ac:dyDescent="0.4">
      <c r="AC274" s="4"/>
      <c r="AD274" s="5"/>
    </row>
    <row r="275" spans="29:30" x14ac:dyDescent="0.4">
      <c r="AC275" s="4"/>
      <c r="AD275" s="5"/>
    </row>
    <row r="276" spans="29:30" x14ac:dyDescent="0.4">
      <c r="AC276" s="4"/>
      <c r="AD276" s="5"/>
    </row>
    <row r="277" spans="29:30" x14ac:dyDescent="0.4">
      <c r="AC277" s="4"/>
      <c r="AD277" s="5"/>
    </row>
    <row r="278" spans="29:30" x14ac:dyDescent="0.4">
      <c r="AC278" s="5"/>
    </row>
    <row r="279" spans="29:30" x14ac:dyDescent="0.4">
      <c r="AC279" s="5"/>
    </row>
    <row r="280" spans="29:30" x14ac:dyDescent="0.4">
      <c r="AC280" s="39"/>
    </row>
    <row r="281" spans="29:30" x14ac:dyDescent="0.4">
      <c r="AC281" s="39"/>
    </row>
    <row r="282" spans="29:30" x14ac:dyDescent="0.4">
      <c r="AC282" s="39"/>
    </row>
    <row r="283" spans="29:30" x14ac:dyDescent="0.4">
      <c r="AC283" s="39"/>
    </row>
    <row r="284" spans="29:30" x14ac:dyDescent="0.4">
      <c r="AC284" s="39"/>
    </row>
    <row r="285" spans="29:30" x14ac:dyDescent="0.4">
      <c r="AC285" s="39"/>
    </row>
  </sheetData>
  <mergeCells count="3">
    <mergeCell ref="A1:AC1"/>
    <mergeCell ref="A2:AC2"/>
    <mergeCell ref="A3:AC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287"/>
  <sheetViews>
    <sheetView topLeftCell="N8" workbookViewId="0">
      <selection activeCell="R15" sqref="R15"/>
    </sheetView>
  </sheetViews>
  <sheetFormatPr defaultColWidth="9.15234375" defaultRowHeight="14.6" x14ac:dyDescent="0.4"/>
  <cols>
    <col min="1" max="1" width="0" style="2" hidden="1" customWidth="1"/>
    <col min="2" max="2" width="25.84375" style="2" bestFit="1" customWidth="1"/>
    <col min="3" max="4" width="9.15234375" style="2"/>
    <col min="5" max="5" width="2.69140625" style="2" customWidth="1"/>
    <col min="6" max="18" width="9.15234375" style="2" customWidth="1"/>
    <col min="19" max="19" width="2.69140625" style="37" customWidth="1"/>
    <col min="20" max="20" width="8" style="37" bestFit="1" customWidth="1"/>
    <col min="21" max="25" width="8" style="37" customWidth="1"/>
    <col min="26" max="26" width="9.15234375" style="2"/>
    <col min="27" max="27" width="2.53515625" style="2" customWidth="1"/>
    <col min="28" max="28" width="8.3828125" style="2" bestFit="1" customWidth="1"/>
    <col min="29" max="16384" width="9.15234375" style="2"/>
  </cols>
  <sheetData>
    <row r="1" spans="1:30" x14ac:dyDescent="0.4">
      <c r="A1" s="292" t="s">
        <v>231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  <c r="V1" s="292"/>
      <c r="W1" s="292"/>
      <c r="X1" s="292"/>
      <c r="Y1" s="292"/>
      <c r="Z1" s="292"/>
      <c r="AA1" s="292"/>
      <c r="AB1" s="292"/>
      <c r="AC1" s="292"/>
    </row>
    <row r="2" spans="1:30" ht="15" customHeight="1" x14ac:dyDescent="0.4">
      <c r="A2" s="292" t="s">
        <v>0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292"/>
      <c r="W2" s="292"/>
      <c r="X2" s="292"/>
      <c r="Y2" s="292"/>
      <c r="Z2" s="292"/>
      <c r="AA2" s="292"/>
      <c r="AB2" s="292"/>
      <c r="AC2" s="292"/>
    </row>
    <row r="3" spans="1:30" ht="15" customHeight="1" x14ac:dyDescent="0.4">
      <c r="A3" s="292" t="s">
        <v>248</v>
      </c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  <c r="M3" s="292"/>
      <c r="N3" s="292"/>
      <c r="O3" s="292"/>
      <c r="P3" s="292"/>
      <c r="Q3" s="292"/>
      <c r="R3" s="292"/>
      <c r="S3" s="292"/>
      <c r="T3" s="292"/>
      <c r="U3" s="292"/>
      <c r="V3" s="292"/>
      <c r="W3" s="292"/>
      <c r="X3" s="292"/>
      <c r="Y3" s="292"/>
      <c r="Z3" s="292"/>
      <c r="AA3" s="292"/>
      <c r="AB3" s="292"/>
      <c r="AC3" s="292"/>
    </row>
    <row r="4" spans="1:30" ht="15" customHeight="1" x14ac:dyDescent="0.4">
      <c r="A4" s="93"/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4"/>
      <c r="T4" s="94"/>
      <c r="U4" s="94"/>
      <c r="V4" s="94"/>
      <c r="W4" s="94"/>
      <c r="X4" s="94"/>
      <c r="Y4" s="94"/>
    </row>
    <row r="5" spans="1:30" x14ac:dyDescent="0.4">
      <c r="A5" s="95" t="s">
        <v>1</v>
      </c>
      <c r="B5" s="96" t="s">
        <v>2</v>
      </c>
      <c r="C5" s="96" t="s">
        <v>235</v>
      </c>
      <c r="D5" s="96" t="s">
        <v>3</v>
      </c>
      <c r="E5" s="97"/>
      <c r="F5" s="96" t="s">
        <v>4</v>
      </c>
      <c r="G5" s="96" t="s">
        <v>5</v>
      </c>
      <c r="H5" s="96" t="s">
        <v>6</v>
      </c>
      <c r="I5" s="96" t="s">
        <v>7</v>
      </c>
      <c r="J5" s="96" t="s">
        <v>8</v>
      </c>
      <c r="K5" s="96" t="s">
        <v>9</v>
      </c>
      <c r="L5" s="96" t="s">
        <v>10</v>
      </c>
      <c r="M5" s="96" t="s">
        <v>11</v>
      </c>
      <c r="N5" s="96" t="s">
        <v>12</v>
      </c>
      <c r="O5" s="96" t="s">
        <v>13</v>
      </c>
      <c r="P5" s="96" t="s">
        <v>14</v>
      </c>
      <c r="Q5" s="96" t="s">
        <v>15</v>
      </c>
      <c r="R5" s="96" t="s">
        <v>242</v>
      </c>
      <c r="S5" s="98"/>
      <c r="T5" s="148" t="s">
        <v>16</v>
      </c>
      <c r="U5" s="148" t="s">
        <v>244</v>
      </c>
      <c r="V5" s="148" t="s">
        <v>245</v>
      </c>
      <c r="W5" s="148" t="s">
        <v>246</v>
      </c>
      <c r="X5" s="148" t="s">
        <v>247</v>
      </c>
      <c r="Y5" s="148" t="s">
        <v>249</v>
      </c>
      <c r="Z5" s="148" t="s">
        <v>17</v>
      </c>
      <c r="AA5" s="98"/>
      <c r="AB5" s="195" t="s">
        <v>238</v>
      </c>
      <c r="AC5" s="29" t="s">
        <v>240</v>
      </c>
      <c r="AD5" s="29" t="s">
        <v>239</v>
      </c>
    </row>
    <row r="6" spans="1:30" x14ac:dyDescent="0.4">
      <c r="A6" s="99"/>
      <c r="B6" s="100" t="s">
        <v>18</v>
      </c>
      <c r="C6" s="101"/>
      <c r="D6" s="101"/>
      <c r="E6" s="102" t="s">
        <v>19</v>
      </c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3"/>
      <c r="T6" s="149"/>
      <c r="U6" s="149"/>
      <c r="V6" s="149"/>
      <c r="W6" s="149"/>
      <c r="X6" s="149"/>
      <c r="Y6" s="149"/>
      <c r="Z6" s="149"/>
      <c r="AA6" s="101"/>
    </row>
    <row r="7" spans="1:30" x14ac:dyDescent="0.4">
      <c r="A7" s="99"/>
      <c r="B7" s="100" t="s">
        <v>20</v>
      </c>
      <c r="C7" s="101"/>
      <c r="D7" s="101"/>
      <c r="E7" s="102" t="s">
        <v>19</v>
      </c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3"/>
      <c r="T7" s="149"/>
      <c r="U7" s="149"/>
      <c r="V7" s="149"/>
      <c r="W7" s="149"/>
      <c r="X7" s="149"/>
      <c r="Y7" s="149"/>
      <c r="Z7" s="149"/>
      <c r="AA7" s="101"/>
    </row>
    <row r="8" spans="1:30" x14ac:dyDescent="0.4">
      <c r="A8" s="99" t="s">
        <v>21</v>
      </c>
      <c r="B8" s="198" t="s">
        <v>22</v>
      </c>
      <c r="C8" s="150">
        <v>701802.44</v>
      </c>
      <c r="D8" s="150">
        <v>58483.536666666667</v>
      </c>
      <c r="E8" s="199" t="s">
        <v>19</v>
      </c>
      <c r="F8" s="150">
        <v>126965.97</v>
      </c>
      <c r="G8" s="150">
        <v>23282.43</v>
      </c>
      <c r="H8" s="150">
        <v>36197.18</v>
      </c>
      <c r="I8" s="150">
        <v>62325.24</v>
      </c>
      <c r="J8" s="150">
        <v>95749.41</v>
      </c>
      <c r="K8" s="150">
        <v>21386.18</v>
      </c>
      <c r="L8" s="150">
        <v>17301.16</v>
      </c>
      <c r="M8" s="150">
        <v>39745.980000000003</v>
      </c>
      <c r="N8" s="150">
        <v>55010.400000000001</v>
      </c>
      <c r="O8" s="150">
        <v>24194.3</v>
      </c>
      <c r="P8" s="150">
        <v>79129.240000000005</v>
      </c>
      <c r="Q8" s="150">
        <v>36236.68</v>
      </c>
      <c r="R8" s="150">
        <v>617524.17000000004</v>
      </c>
      <c r="S8" s="105"/>
      <c r="T8" s="150">
        <v>51423.88</v>
      </c>
      <c r="U8" s="150">
        <v>32858.99</v>
      </c>
      <c r="V8" s="150">
        <v>55015.12</v>
      </c>
      <c r="W8" s="150">
        <v>37313.910000000003</v>
      </c>
      <c r="X8" s="150">
        <v>42358.36</v>
      </c>
      <c r="Y8" s="150">
        <v>54776.79</v>
      </c>
      <c r="Z8" s="150">
        <v>273747.05</v>
      </c>
      <c r="AA8" s="104"/>
      <c r="AB8" s="226">
        <f t="shared" ref="AB8:AB14" si="0">SUM(F8:K8)</f>
        <v>365906.41</v>
      </c>
      <c r="AC8" s="224">
        <f>+Z8-AB8</f>
        <v>-92159.359999999986</v>
      </c>
      <c r="AD8" s="8">
        <f>+AC8/AB8</f>
        <v>-0.25186593478917191</v>
      </c>
    </row>
    <row r="9" spans="1:30" x14ac:dyDescent="0.4">
      <c r="A9" s="99" t="s">
        <v>25</v>
      </c>
      <c r="B9" s="198" t="s">
        <v>26</v>
      </c>
      <c r="C9" s="150">
        <v>9494.06</v>
      </c>
      <c r="D9" s="150">
        <v>791.17166666666674</v>
      </c>
      <c r="E9" s="199" t="s">
        <v>19</v>
      </c>
      <c r="F9" s="150">
        <v>930</v>
      </c>
      <c r="G9" s="150">
        <v>140</v>
      </c>
      <c r="H9" s="150">
        <v>3638.9</v>
      </c>
      <c r="I9" s="150">
        <v>706.66</v>
      </c>
      <c r="J9" s="150">
        <v>1625.84</v>
      </c>
      <c r="K9" s="150">
        <v>1770</v>
      </c>
      <c r="L9" s="150">
        <v>300</v>
      </c>
      <c r="M9" s="150">
        <v>100</v>
      </c>
      <c r="N9" s="150">
        <v>750</v>
      </c>
      <c r="O9" s="149"/>
      <c r="P9" s="150">
        <v>350</v>
      </c>
      <c r="Q9" s="150">
        <v>1150</v>
      </c>
      <c r="R9" s="150">
        <v>11461.4</v>
      </c>
      <c r="S9" s="105"/>
      <c r="T9" s="150">
        <v>50</v>
      </c>
      <c r="U9" s="150">
        <v>1180.0999999999999</v>
      </c>
      <c r="V9" s="149"/>
      <c r="W9" s="150">
        <v>500</v>
      </c>
      <c r="X9" s="149"/>
      <c r="Y9" s="150">
        <v>100</v>
      </c>
      <c r="Z9" s="150">
        <v>1830.1</v>
      </c>
      <c r="AA9" s="104"/>
      <c r="AB9" s="226">
        <f t="shared" si="0"/>
        <v>8811.4</v>
      </c>
      <c r="AC9" s="224">
        <f t="shared" ref="AC9:AC14" si="1">+Z9-AB9</f>
        <v>-6981.2999999999993</v>
      </c>
      <c r="AD9" s="8">
        <f t="shared" ref="AD9:AD14" si="2">+AC9/AB9</f>
        <v>-0.79230315273395824</v>
      </c>
    </row>
    <row r="10" spans="1:30" x14ac:dyDescent="0.4">
      <c r="A10" s="99" t="s">
        <v>27</v>
      </c>
      <c r="B10" s="198" t="s">
        <v>28</v>
      </c>
      <c r="C10" s="150">
        <v>38230</v>
      </c>
      <c r="D10" s="150">
        <v>3185.8333333333335</v>
      </c>
      <c r="E10" s="199" t="s">
        <v>19</v>
      </c>
      <c r="F10" s="150">
        <v>5550</v>
      </c>
      <c r="G10" s="150">
        <v>11500</v>
      </c>
      <c r="H10" s="150">
        <v>1230</v>
      </c>
      <c r="I10" s="150">
        <v>5500</v>
      </c>
      <c r="J10" s="150">
        <v>3000</v>
      </c>
      <c r="K10" s="150">
        <v>1000</v>
      </c>
      <c r="L10" s="149"/>
      <c r="M10" s="150">
        <v>1000</v>
      </c>
      <c r="N10" s="150">
        <v>1500</v>
      </c>
      <c r="O10" s="149"/>
      <c r="P10" s="150">
        <v>5250</v>
      </c>
      <c r="Q10" s="149"/>
      <c r="R10" s="150">
        <v>35530</v>
      </c>
      <c r="S10" s="105"/>
      <c r="T10" s="150">
        <v>1000</v>
      </c>
      <c r="U10" s="150">
        <v>2250</v>
      </c>
      <c r="V10" s="150">
        <v>6230</v>
      </c>
      <c r="W10" s="150">
        <v>3500</v>
      </c>
      <c r="X10" s="149"/>
      <c r="Y10" s="149"/>
      <c r="Z10" s="150">
        <v>12980</v>
      </c>
      <c r="AA10" s="104"/>
      <c r="AB10" s="226">
        <f t="shared" si="0"/>
        <v>27780</v>
      </c>
      <c r="AC10" s="224">
        <f t="shared" si="1"/>
        <v>-14800</v>
      </c>
      <c r="AD10" s="8">
        <f t="shared" si="2"/>
        <v>-0.53275737940964718</v>
      </c>
    </row>
    <row r="11" spans="1:30" x14ac:dyDescent="0.4">
      <c r="A11" s="99" t="s">
        <v>29</v>
      </c>
      <c r="B11" s="198" t="s">
        <v>33</v>
      </c>
      <c r="C11" s="150">
        <v>34432.04</v>
      </c>
      <c r="D11" s="150">
        <v>2869.3366666666666</v>
      </c>
      <c r="E11" s="199" t="s">
        <v>19</v>
      </c>
      <c r="F11" s="150">
        <v>2807.12</v>
      </c>
      <c r="G11" s="150">
        <v>800.26</v>
      </c>
      <c r="H11" s="150">
        <v>582.22</v>
      </c>
      <c r="I11" s="150">
        <v>3861.78</v>
      </c>
      <c r="J11" s="150">
        <v>560</v>
      </c>
      <c r="K11" s="150">
        <v>3187.56</v>
      </c>
      <c r="L11" s="150">
        <v>360.22</v>
      </c>
      <c r="M11" s="150">
        <v>381.78</v>
      </c>
      <c r="N11" s="150">
        <v>2936</v>
      </c>
      <c r="O11" s="150">
        <v>844.88</v>
      </c>
      <c r="P11" s="150">
        <v>1737.54</v>
      </c>
      <c r="Q11" s="150">
        <v>822.44</v>
      </c>
      <c r="R11" s="150">
        <v>18881.8</v>
      </c>
      <c r="S11" s="103"/>
      <c r="T11" s="150">
        <v>1564</v>
      </c>
      <c r="U11" s="150">
        <v>1463.78</v>
      </c>
      <c r="V11" s="150">
        <v>1742.22</v>
      </c>
      <c r="W11" s="150">
        <v>472.44</v>
      </c>
      <c r="X11" s="150">
        <v>686</v>
      </c>
      <c r="Y11" s="150">
        <v>3308</v>
      </c>
      <c r="Z11" s="150">
        <v>9236.44</v>
      </c>
      <c r="AA11" s="104"/>
      <c r="AB11" s="226">
        <f t="shared" si="0"/>
        <v>11798.94</v>
      </c>
      <c r="AC11" s="224">
        <f t="shared" si="1"/>
        <v>-2562.5</v>
      </c>
      <c r="AD11" s="8">
        <f t="shared" si="2"/>
        <v>-0.21718052638626859</v>
      </c>
    </row>
    <row r="12" spans="1:30" x14ac:dyDescent="0.4">
      <c r="A12" s="99" t="s">
        <v>32</v>
      </c>
      <c r="B12" s="198" t="s">
        <v>37</v>
      </c>
      <c r="C12" s="150">
        <v>12088.17</v>
      </c>
      <c r="D12" s="150">
        <v>1007.3475</v>
      </c>
      <c r="E12" s="199" t="s">
        <v>19</v>
      </c>
      <c r="F12" s="149"/>
      <c r="G12" s="149"/>
      <c r="H12" s="149"/>
      <c r="I12" s="149"/>
      <c r="J12" s="150">
        <v>2015</v>
      </c>
      <c r="K12" s="150">
        <v>2775.1</v>
      </c>
      <c r="L12" s="150">
        <v>7057.7</v>
      </c>
      <c r="M12" s="150">
        <v>1209.43</v>
      </c>
      <c r="N12" s="149"/>
      <c r="O12" s="149"/>
      <c r="P12" s="149"/>
      <c r="Q12" s="150">
        <v>200</v>
      </c>
      <c r="R12" s="150">
        <v>13257.23</v>
      </c>
      <c r="S12" s="105"/>
      <c r="T12" s="149"/>
      <c r="U12" s="149"/>
      <c r="V12" s="149"/>
      <c r="W12" s="149"/>
      <c r="X12" s="149"/>
      <c r="Y12" s="149"/>
      <c r="Z12" s="149"/>
      <c r="AA12" s="104"/>
      <c r="AB12" s="226">
        <f t="shared" si="0"/>
        <v>4790.1000000000004</v>
      </c>
      <c r="AC12" s="224">
        <f t="shared" si="1"/>
        <v>-4790.1000000000004</v>
      </c>
      <c r="AD12" s="8">
        <f t="shared" si="2"/>
        <v>-1</v>
      </c>
    </row>
    <row r="13" spans="1:30" x14ac:dyDescent="0.4">
      <c r="A13" s="99" t="s">
        <v>36</v>
      </c>
      <c r="B13" s="198" t="s">
        <v>49</v>
      </c>
      <c r="C13" s="150">
        <v>10000</v>
      </c>
      <c r="D13" s="150">
        <v>833.33333333333326</v>
      </c>
      <c r="E13" s="199" t="s">
        <v>19</v>
      </c>
      <c r="F13" s="149"/>
      <c r="G13" s="149"/>
      <c r="H13" s="149"/>
      <c r="I13" s="149"/>
      <c r="J13" s="149"/>
      <c r="K13" s="150">
        <v>10000</v>
      </c>
      <c r="L13" s="149"/>
      <c r="M13" s="149"/>
      <c r="N13" s="149"/>
      <c r="O13" s="149"/>
      <c r="P13" s="149"/>
      <c r="Q13" s="149"/>
      <c r="R13" s="150">
        <v>10000</v>
      </c>
      <c r="S13" s="105"/>
      <c r="T13" s="149"/>
      <c r="U13" s="149"/>
      <c r="V13" s="149"/>
      <c r="W13" s="150">
        <v>12500</v>
      </c>
      <c r="X13" s="149"/>
      <c r="Y13" s="149"/>
      <c r="Z13" s="150">
        <v>12500</v>
      </c>
      <c r="AA13" s="104"/>
      <c r="AB13" s="226">
        <f t="shared" si="0"/>
        <v>10000</v>
      </c>
      <c r="AC13" s="224">
        <f t="shared" si="1"/>
        <v>2500</v>
      </c>
      <c r="AD13" s="8">
        <f t="shared" si="2"/>
        <v>0.25</v>
      </c>
    </row>
    <row r="14" spans="1:30" x14ac:dyDescent="0.4">
      <c r="A14" s="99" t="s">
        <v>48</v>
      </c>
      <c r="B14" s="198" t="s">
        <v>53</v>
      </c>
      <c r="C14" s="151">
        <v>6613.74</v>
      </c>
      <c r="D14" s="151">
        <v>551.14499999999998</v>
      </c>
      <c r="E14" s="199" t="s">
        <v>19</v>
      </c>
      <c r="F14" s="151">
        <v>423.92</v>
      </c>
      <c r="G14" s="151">
        <v>549.07000000000005</v>
      </c>
      <c r="H14" s="151">
        <v>476.71</v>
      </c>
      <c r="I14" s="152"/>
      <c r="J14" s="151">
        <v>111.03</v>
      </c>
      <c r="K14" s="152"/>
      <c r="L14" s="152"/>
      <c r="M14" s="151">
        <v>192.79</v>
      </c>
      <c r="N14" s="151">
        <v>123.96</v>
      </c>
      <c r="O14" s="152"/>
      <c r="P14" s="152"/>
      <c r="Q14" s="152"/>
      <c r="R14" s="151">
        <v>1877.48</v>
      </c>
      <c r="S14" s="105"/>
      <c r="T14" s="151">
        <v>0.01</v>
      </c>
      <c r="U14" s="152"/>
      <c r="V14" s="151">
        <v>33.04</v>
      </c>
      <c r="W14" s="151">
        <v>35142.78</v>
      </c>
      <c r="X14" s="152"/>
      <c r="Y14" s="151">
        <v>0.01</v>
      </c>
      <c r="Z14" s="151">
        <v>35175.839999999997</v>
      </c>
      <c r="AA14" s="105"/>
      <c r="AB14" s="212">
        <f t="shared" si="0"/>
        <v>1560.73</v>
      </c>
      <c r="AC14" s="11">
        <f t="shared" si="1"/>
        <v>33615.109999999993</v>
      </c>
      <c r="AD14" s="12">
        <f t="shared" si="2"/>
        <v>21.538068724250827</v>
      </c>
    </row>
    <row r="15" spans="1:30" x14ac:dyDescent="0.4">
      <c r="A15" s="99" t="s">
        <v>52</v>
      </c>
      <c r="B15" s="198" t="s">
        <v>54</v>
      </c>
      <c r="C15" s="151">
        <v>812660.45</v>
      </c>
      <c r="D15" s="151">
        <v>67721.704166666663</v>
      </c>
      <c r="E15" s="199" t="s">
        <v>19</v>
      </c>
      <c r="F15" s="151">
        <v>136677.01</v>
      </c>
      <c r="G15" s="151">
        <v>36271.760000000002</v>
      </c>
      <c r="H15" s="151">
        <v>42125.01</v>
      </c>
      <c r="I15" s="151">
        <v>72393.679999999993</v>
      </c>
      <c r="J15" s="151">
        <v>103061.28</v>
      </c>
      <c r="K15" s="151">
        <v>40118.839999999997</v>
      </c>
      <c r="L15" s="151">
        <v>25019.08</v>
      </c>
      <c r="M15" s="151">
        <v>42629.98</v>
      </c>
      <c r="N15" s="151">
        <v>60320.36</v>
      </c>
      <c r="O15" s="151">
        <v>25039.18</v>
      </c>
      <c r="P15" s="151">
        <v>86466.78</v>
      </c>
      <c r="Q15" s="151">
        <v>38409.120000000003</v>
      </c>
      <c r="R15" s="151">
        <v>708532.08</v>
      </c>
      <c r="S15" s="105"/>
      <c r="T15" s="151">
        <v>54037.89</v>
      </c>
      <c r="U15" s="151">
        <v>37752.870000000003</v>
      </c>
      <c r="V15" s="151">
        <v>63020.38</v>
      </c>
      <c r="W15" s="151">
        <v>89429.13</v>
      </c>
      <c r="X15" s="151">
        <v>43044.36</v>
      </c>
      <c r="Y15" s="151">
        <v>58184.800000000003</v>
      </c>
      <c r="Z15" s="151">
        <v>345469.43</v>
      </c>
      <c r="AA15" s="105"/>
      <c r="AB15" s="151">
        <f>SUM(AB8:AB14)</f>
        <v>430647.57999999996</v>
      </c>
      <c r="AC15" s="151">
        <f>SUM(AC8:AC14)</f>
        <v>-85178.15</v>
      </c>
      <c r="AD15" s="12">
        <f t="shared" ref="AD15:AD55" si="3">+AC15/AB15</f>
        <v>-0.19779084791327517</v>
      </c>
    </row>
    <row r="16" spans="1:30" x14ac:dyDescent="0.4">
      <c r="A16" s="99"/>
      <c r="B16" s="198"/>
      <c r="C16" s="149"/>
      <c r="D16" s="149"/>
      <c r="E16" s="199" t="s">
        <v>19</v>
      </c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05"/>
      <c r="T16" s="149"/>
      <c r="U16" s="149"/>
      <c r="V16" s="149"/>
      <c r="W16" s="149"/>
      <c r="X16" s="149"/>
      <c r="Y16" s="149"/>
      <c r="Z16" s="149"/>
      <c r="AA16" s="101"/>
      <c r="AB16" s="149"/>
      <c r="AC16" s="4"/>
      <c r="AD16" s="5"/>
    </row>
    <row r="17" spans="1:30" x14ac:dyDescent="0.4">
      <c r="A17" s="99"/>
      <c r="B17" s="198" t="s">
        <v>55</v>
      </c>
      <c r="C17" s="149"/>
      <c r="D17" s="149"/>
      <c r="E17" s="199" t="s">
        <v>19</v>
      </c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03"/>
      <c r="T17" s="149"/>
      <c r="U17" s="149"/>
      <c r="V17" s="149"/>
      <c r="W17" s="149"/>
      <c r="X17" s="149"/>
      <c r="Y17" s="149"/>
      <c r="Z17" s="149"/>
      <c r="AA17" s="101"/>
      <c r="AB17" s="149"/>
      <c r="AC17" s="4"/>
      <c r="AD17" s="5"/>
    </row>
    <row r="18" spans="1:30" x14ac:dyDescent="0.4">
      <c r="A18" s="99"/>
      <c r="B18" s="198" t="s">
        <v>56</v>
      </c>
      <c r="C18" s="150">
        <v>251580.98</v>
      </c>
      <c r="D18" s="150">
        <v>20965.081666666665</v>
      </c>
      <c r="E18" s="199" t="s">
        <v>19</v>
      </c>
      <c r="F18" s="150">
        <v>23048.84</v>
      </c>
      <c r="G18" s="150">
        <v>21376.06</v>
      </c>
      <c r="H18" s="150">
        <v>25222.47</v>
      </c>
      <c r="I18" s="150">
        <v>26007.34</v>
      </c>
      <c r="J18" s="150">
        <v>22277.67</v>
      </c>
      <c r="K18" s="150">
        <v>21214.18</v>
      </c>
      <c r="L18" s="150">
        <v>20560.310000000001</v>
      </c>
      <c r="M18" s="150">
        <v>18866.57</v>
      </c>
      <c r="N18" s="150">
        <v>19144.88</v>
      </c>
      <c r="O18" s="150">
        <v>17683.78</v>
      </c>
      <c r="P18" s="150">
        <v>17303.54</v>
      </c>
      <c r="Q18" s="150">
        <v>15741.78</v>
      </c>
      <c r="R18" s="150">
        <v>248447.42</v>
      </c>
      <c r="S18" s="103"/>
      <c r="T18" s="150">
        <v>16943.68</v>
      </c>
      <c r="U18" s="150">
        <v>16943.68</v>
      </c>
      <c r="V18" s="150">
        <v>17323.57</v>
      </c>
      <c r="W18" s="150">
        <v>18657.740000000002</v>
      </c>
      <c r="X18" s="150">
        <v>21797.68</v>
      </c>
      <c r="Y18" s="150">
        <v>18574.07</v>
      </c>
      <c r="Z18" s="150">
        <v>110240.42</v>
      </c>
      <c r="AA18" s="104"/>
      <c r="AB18" s="226">
        <f t="shared" ref="AB18:AB23" si="4">SUM(F18:K18)</f>
        <v>139146.56</v>
      </c>
      <c r="AC18" s="224">
        <f t="shared" ref="AC18" si="5">+Z18-AB18</f>
        <v>-28906.14</v>
      </c>
      <c r="AD18" s="8">
        <f t="shared" si="3"/>
        <v>-0.20773880432257902</v>
      </c>
    </row>
    <row r="19" spans="1:30" x14ac:dyDescent="0.4">
      <c r="A19" s="99"/>
      <c r="B19" s="198" t="s">
        <v>57</v>
      </c>
      <c r="C19" s="150">
        <v>35551.49</v>
      </c>
      <c r="D19" s="150">
        <v>2962.6241666666665</v>
      </c>
      <c r="E19" s="199" t="s">
        <v>19</v>
      </c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150"/>
      <c r="S19" s="105"/>
      <c r="T19" s="150"/>
      <c r="U19" s="150"/>
      <c r="V19" s="150"/>
      <c r="W19" s="150"/>
      <c r="X19" s="150"/>
      <c r="Y19" s="150"/>
      <c r="Z19" s="150"/>
      <c r="AA19" s="104"/>
      <c r="AB19" s="226">
        <f t="shared" si="4"/>
        <v>0</v>
      </c>
      <c r="AC19" s="224">
        <f t="shared" ref="AC19:AC23" si="6">+Z19-AB19</f>
        <v>0</v>
      </c>
      <c r="AD19" s="8" t="e">
        <f t="shared" ref="AD19:AD23" si="7">+AC19/AB19</f>
        <v>#DIV/0!</v>
      </c>
    </row>
    <row r="20" spans="1:30" x14ac:dyDescent="0.4">
      <c r="A20" s="99"/>
      <c r="B20" s="198" t="s">
        <v>58</v>
      </c>
      <c r="C20" s="150">
        <v>231826.47</v>
      </c>
      <c r="D20" s="150">
        <v>19318.872500000001</v>
      </c>
      <c r="E20" s="199" t="s">
        <v>19</v>
      </c>
      <c r="F20" s="150">
        <v>14284.68</v>
      </c>
      <c r="G20" s="150">
        <v>18943.66</v>
      </c>
      <c r="H20" s="150">
        <v>15829.53</v>
      </c>
      <c r="I20" s="150">
        <v>17734.8</v>
      </c>
      <c r="J20" s="150">
        <v>11574.07</v>
      </c>
      <c r="K20" s="150">
        <v>12504.3</v>
      </c>
      <c r="L20" s="150">
        <v>9504.01</v>
      </c>
      <c r="M20" s="150">
        <v>16056.92</v>
      </c>
      <c r="N20" s="150">
        <v>9750.07</v>
      </c>
      <c r="O20" s="150">
        <v>6669.25</v>
      </c>
      <c r="P20" s="150">
        <v>8079.77</v>
      </c>
      <c r="Q20" s="150">
        <v>8781.39</v>
      </c>
      <c r="R20" s="150">
        <v>149712.45000000001</v>
      </c>
      <c r="S20" s="105"/>
      <c r="T20" s="150">
        <v>9414.34</v>
      </c>
      <c r="U20" s="150">
        <v>7840.18</v>
      </c>
      <c r="V20" s="150">
        <v>7946.6</v>
      </c>
      <c r="W20" s="150">
        <v>15020.61</v>
      </c>
      <c r="X20" s="150">
        <v>14585.68</v>
      </c>
      <c r="Y20" s="150">
        <v>8119.69</v>
      </c>
      <c r="Z20" s="150">
        <v>62927.1</v>
      </c>
      <c r="AA20" s="104"/>
      <c r="AB20" s="226">
        <f t="shared" si="4"/>
        <v>90871.039999999994</v>
      </c>
      <c r="AC20" s="224">
        <f t="shared" si="6"/>
        <v>-27943.939999999995</v>
      </c>
      <c r="AD20" s="8">
        <f t="shared" si="7"/>
        <v>-0.30751205224458744</v>
      </c>
    </row>
    <row r="21" spans="1:30" x14ac:dyDescent="0.4">
      <c r="A21" s="99"/>
      <c r="B21" s="198" t="s">
        <v>59</v>
      </c>
      <c r="C21" s="150">
        <v>91068.23</v>
      </c>
      <c r="D21" s="150">
        <v>7589.0191666666669</v>
      </c>
      <c r="E21" s="199" t="s">
        <v>19</v>
      </c>
      <c r="F21" s="150">
        <v>6906.15</v>
      </c>
      <c r="G21" s="150">
        <v>10435.02</v>
      </c>
      <c r="H21" s="150">
        <v>8388.75</v>
      </c>
      <c r="I21" s="150">
        <v>7193.76</v>
      </c>
      <c r="J21" s="150">
        <v>6644.39</v>
      </c>
      <c r="K21" s="150">
        <v>8992.44</v>
      </c>
      <c r="L21" s="150">
        <v>6604.4</v>
      </c>
      <c r="M21" s="150">
        <v>6604.4</v>
      </c>
      <c r="N21" s="150">
        <v>11491.9</v>
      </c>
      <c r="O21" s="150">
        <v>6604.4</v>
      </c>
      <c r="P21" s="150">
        <v>6609.68</v>
      </c>
      <c r="Q21" s="150">
        <v>8777.01</v>
      </c>
      <c r="R21" s="150">
        <v>95252.3</v>
      </c>
      <c r="S21" s="105"/>
      <c r="T21" s="150">
        <v>10432.040000000001</v>
      </c>
      <c r="U21" s="150">
        <v>6627.01</v>
      </c>
      <c r="V21" s="150">
        <v>8777.01</v>
      </c>
      <c r="W21" s="150">
        <v>6627.01</v>
      </c>
      <c r="X21" s="150">
        <v>7573.92</v>
      </c>
      <c r="Y21" s="150">
        <v>15764.94</v>
      </c>
      <c r="Z21" s="150">
        <v>55801.93</v>
      </c>
      <c r="AA21" s="104"/>
      <c r="AB21" s="226">
        <f t="shared" si="4"/>
        <v>48560.51</v>
      </c>
      <c r="AC21" s="224">
        <f t="shared" si="6"/>
        <v>7241.4199999999983</v>
      </c>
      <c r="AD21" s="8">
        <f t="shared" si="7"/>
        <v>0.14912158047763496</v>
      </c>
    </row>
    <row r="22" spans="1:30" x14ac:dyDescent="0.4">
      <c r="A22" s="99"/>
      <c r="B22" s="198" t="s">
        <v>60</v>
      </c>
      <c r="C22" s="150">
        <v>150341.35999999999</v>
      </c>
      <c r="D22" s="150">
        <v>12528.446666666667</v>
      </c>
      <c r="E22" s="199" t="s">
        <v>19</v>
      </c>
      <c r="F22" s="150">
        <v>4586.7299999999996</v>
      </c>
      <c r="G22" s="150">
        <v>7881.61</v>
      </c>
      <c r="H22" s="150">
        <v>3970.01</v>
      </c>
      <c r="I22" s="150">
        <v>9881.1299999999992</v>
      </c>
      <c r="J22" s="150">
        <v>9366.9599999999991</v>
      </c>
      <c r="K22" s="150">
        <v>8400.33</v>
      </c>
      <c r="L22" s="150">
        <v>6788.29</v>
      </c>
      <c r="M22" s="150">
        <v>3856.96</v>
      </c>
      <c r="N22" s="150">
        <v>7239.53</v>
      </c>
      <c r="O22" s="150">
        <v>4873.6499999999996</v>
      </c>
      <c r="P22" s="150">
        <v>6229.05</v>
      </c>
      <c r="Q22" s="150">
        <v>6179.4</v>
      </c>
      <c r="R22" s="150">
        <v>79253.649999999994</v>
      </c>
      <c r="S22" s="105"/>
      <c r="T22" s="150">
        <v>5184.45</v>
      </c>
      <c r="U22" s="150">
        <v>6167.86</v>
      </c>
      <c r="V22" s="150">
        <v>6352.01</v>
      </c>
      <c r="W22" s="150">
        <v>6054.05</v>
      </c>
      <c r="X22" s="150">
        <v>6757.57</v>
      </c>
      <c r="Y22" s="150">
        <v>5103.97</v>
      </c>
      <c r="Z22" s="150">
        <v>35619.910000000003</v>
      </c>
      <c r="AA22" s="104"/>
      <c r="AB22" s="226">
        <f t="shared" si="4"/>
        <v>44086.77</v>
      </c>
      <c r="AC22" s="224">
        <f t="shared" si="6"/>
        <v>-8466.8599999999933</v>
      </c>
      <c r="AD22" s="8">
        <f t="shared" si="7"/>
        <v>-0.19204990522099927</v>
      </c>
    </row>
    <row r="23" spans="1:30" x14ac:dyDescent="0.4">
      <c r="A23" s="99"/>
      <c r="B23" s="198" t="s">
        <v>61</v>
      </c>
      <c r="C23" s="151">
        <v>7510.29</v>
      </c>
      <c r="D23" s="151">
        <v>625.85749999999996</v>
      </c>
      <c r="E23" s="199" t="s">
        <v>19</v>
      </c>
      <c r="F23" s="151"/>
      <c r="G23" s="151"/>
      <c r="H23" s="151">
        <v>1065</v>
      </c>
      <c r="I23" s="151"/>
      <c r="J23" s="151"/>
      <c r="K23" s="151">
        <v>2750.07</v>
      </c>
      <c r="L23" s="151">
        <v>200</v>
      </c>
      <c r="M23" s="151"/>
      <c r="N23" s="151"/>
      <c r="O23" s="151"/>
      <c r="P23" s="151"/>
      <c r="Q23" s="151"/>
      <c r="R23" s="151">
        <v>4015.07</v>
      </c>
      <c r="S23" s="105"/>
      <c r="T23" s="151"/>
      <c r="U23" s="151"/>
      <c r="V23" s="151"/>
      <c r="W23" s="151"/>
      <c r="X23" s="151"/>
      <c r="Y23" s="151"/>
      <c r="Z23" s="151"/>
      <c r="AA23" s="105"/>
      <c r="AB23" s="212">
        <f t="shared" si="4"/>
        <v>3815.07</v>
      </c>
      <c r="AC23" s="11">
        <f t="shared" si="6"/>
        <v>-3815.07</v>
      </c>
      <c r="AD23" s="12">
        <f t="shared" si="7"/>
        <v>-1</v>
      </c>
    </row>
    <row r="24" spans="1:30" x14ac:dyDescent="0.4">
      <c r="A24" s="99"/>
      <c r="B24" s="198" t="s">
        <v>62</v>
      </c>
      <c r="C24" s="151">
        <v>767878.82</v>
      </c>
      <c r="D24" s="151">
        <v>63989.901666666665</v>
      </c>
      <c r="E24" s="199" t="s">
        <v>19</v>
      </c>
      <c r="F24" s="151">
        <v>48826.400000000001</v>
      </c>
      <c r="G24" s="151">
        <v>58636.35</v>
      </c>
      <c r="H24" s="151">
        <v>54475.76</v>
      </c>
      <c r="I24" s="151">
        <v>60817.03</v>
      </c>
      <c r="J24" s="151">
        <v>49863.09</v>
      </c>
      <c r="K24" s="151">
        <v>53861.32</v>
      </c>
      <c r="L24" s="151">
        <v>43657.01</v>
      </c>
      <c r="M24" s="151">
        <v>45384.85</v>
      </c>
      <c r="N24" s="151">
        <v>47626.38</v>
      </c>
      <c r="O24" s="151">
        <v>35831.08</v>
      </c>
      <c r="P24" s="151">
        <v>38222.04</v>
      </c>
      <c r="Q24" s="151">
        <v>39479.58</v>
      </c>
      <c r="R24" s="151">
        <v>576680.89</v>
      </c>
      <c r="S24" s="105"/>
      <c r="T24" s="151">
        <v>41974.51</v>
      </c>
      <c r="U24" s="151">
        <v>37578.730000000003</v>
      </c>
      <c r="V24" s="151">
        <v>40399.19</v>
      </c>
      <c r="W24" s="151">
        <v>46359.41</v>
      </c>
      <c r="X24" s="151">
        <v>50714.85</v>
      </c>
      <c r="Y24" s="151">
        <v>47562.67</v>
      </c>
      <c r="Z24" s="151">
        <v>264589.36</v>
      </c>
      <c r="AA24" s="105"/>
      <c r="AB24" s="151">
        <f>SUM(AB18:AB23)</f>
        <v>326479.95</v>
      </c>
      <c r="AC24" s="151">
        <f>SUM(AC18:AC23)</f>
        <v>-61890.589999999989</v>
      </c>
      <c r="AD24" s="12">
        <f t="shared" si="3"/>
        <v>-0.18956934415114921</v>
      </c>
    </row>
    <row r="25" spans="1:30" x14ac:dyDescent="0.4">
      <c r="A25" s="99"/>
      <c r="B25" s="198"/>
      <c r="C25" s="149"/>
      <c r="D25" s="149"/>
      <c r="E25" s="199" t="s">
        <v>19</v>
      </c>
      <c r="F25" s="149"/>
      <c r="G25" s="149"/>
      <c r="H25" s="149"/>
      <c r="I25" s="149"/>
      <c r="J25" s="149"/>
      <c r="K25" s="149"/>
      <c r="L25" s="149"/>
      <c r="M25" s="149"/>
      <c r="N25" s="149"/>
      <c r="O25" s="149"/>
      <c r="P25" s="149"/>
      <c r="Q25" s="149"/>
      <c r="R25" s="149"/>
      <c r="S25" s="103"/>
      <c r="T25" s="149"/>
      <c r="U25" s="149"/>
      <c r="V25" s="149"/>
      <c r="W25" s="149"/>
      <c r="X25" s="149"/>
      <c r="Y25" s="149"/>
      <c r="Z25" s="149"/>
      <c r="AA25" s="101"/>
      <c r="AB25" s="149"/>
      <c r="AC25" s="4"/>
      <c r="AD25" s="5"/>
    </row>
    <row r="26" spans="1:30" s="37" customFormat="1" x14ac:dyDescent="0.4">
      <c r="A26" s="106"/>
      <c r="B26" s="198" t="s">
        <v>63</v>
      </c>
      <c r="C26" s="149"/>
      <c r="D26" s="149"/>
      <c r="E26" s="199" t="s">
        <v>19</v>
      </c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03"/>
      <c r="T26" s="149"/>
      <c r="U26" s="149"/>
      <c r="V26" s="149"/>
      <c r="W26" s="149"/>
      <c r="X26" s="149"/>
      <c r="Y26" s="149"/>
      <c r="Z26" s="149"/>
      <c r="AA26" s="101"/>
      <c r="AB26" s="149"/>
      <c r="AC26" s="4"/>
      <c r="AD26" s="5"/>
    </row>
    <row r="27" spans="1:30" x14ac:dyDescent="0.4">
      <c r="A27" s="99" t="s">
        <v>66</v>
      </c>
      <c r="B27" s="198" t="s">
        <v>67</v>
      </c>
      <c r="C27" s="150">
        <v>142608</v>
      </c>
      <c r="D27" s="150">
        <v>11884</v>
      </c>
      <c r="E27" s="199" t="s">
        <v>19</v>
      </c>
      <c r="F27" s="150">
        <v>11884</v>
      </c>
      <c r="G27" s="150">
        <v>11884</v>
      </c>
      <c r="H27" s="150">
        <v>11884</v>
      </c>
      <c r="I27" s="150">
        <v>11884</v>
      </c>
      <c r="J27" s="150">
        <v>11884</v>
      </c>
      <c r="K27" s="150">
        <v>11884</v>
      </c>
      <c r="L27" s="150">
        <v>11884</v>
      </c>
      <c r="M27" s="150">
        <v>11884</v>
      </c>
      <c r="N27" s="150">
        <v>11884</v>
      </c>
      <c r="O27" s="150">
        <v>11884</v>
      </c>
      <c r="P27" s="150">
        <v>11884</v>
      </c>
      <c r="Q27" s="150">
        <v>11884</v>
      </c>
      <c r="R27" s="150">
        <v>142608</v>
      </c>
      <c r="S27" s="105"/>
      <c r="T27" s="150">
        <v>11884</v>
      </c>
      <c r="U27" s="150">
        <v>11884</v>
      </c>
      <c r="V27" s="150">
        <v>11884</v>
      </c>
      <c r="W27" s="150">
        <v>11884</v>
      </c>
      <c r="X27" s="150">
        <v>11884</v>
      </c>
      <c r="Y27" s="150">
        <v>11884</v>
      </c>
      <c r="Z27" s="150">
        <v>71304</v>
      </c>
      <c r="AA27" s="104"/>
      <c r="AB27" s="226">
        <f>SUM(F27:K27)</f>
        <v>71304</v>
      </c>
      <c r="AC27" s="224">
        <f>+Z27-AB27</f>
        <v>0</v>
      </c>
      <c r="AD27" s="8">
        <f t="shared" si="3"/>
        <v>0</v>
      </c>
    </row>
    <row r="28" spans="1:30" x14ac:dyDescent="0.4">
      <c r="A28" s="99" t="s">
        <v>68</v>
      </c>
      <c r="B28" s="198" t="s">
        <v>69</v>
      </c>
      <c r="C28" s="151">
        <v>19020</v>
      </c>
      <c r="D28" s="151">
        <v>1585</v>
      </c>
      <c r="E28" s="199" t="s">
        <v>19</v>
      </c>
      <c r="F28" s="151">
        <v>1585</v>
      </c>
      <c r="G28" s="151">
        <v>1585</v>
      </c>
      <c r="H28" s="151">
        <v>1585</v>
      </c>
      <c r="I28" s="151">
        <v>1585</v>
      </c>
      <c r="J28" s="151">
        <v>1585</v>
      </c>
      <c r="K28" s="151">
        <v>1585</v>
      </c>
      <c r="L28" s="151">
        <v>1585</v>
      </c>
      <c r="M28" s="151">
        <v>1585</v>
      </c>
      <c r="N28" s="151">
        <v>1585</v>
      </c>
      <c r="O28" s="151">
        <v>1585</v>
      </c>
      <c r="P28" s="151">
        <v>1585</v>
      </c>
      <c r="Q28" s="151">
        <v>1585</v>
      </c>
      <c r="R28" s="151">
        <v>19020</v>
      </c>
      <c r="S28" s="105"/>
      <c r="T28" s="151">
        <v>1585</v>
      </c>
      <c r="U28" s="151">
        <v>1585</v>
      </c>
      <c r="V28" s="151">
        <v>1585</v>
      </c>
      <c r="W28" s="151">
        <v>1585</v>
      </c>
      <c r="X28" s="151">
        <v>1585</v>
      </c>
      <c r="Y28" s="151">
        <v>1585</v>
      </c>
      <c r="Z28" s="151">
        <v>9510</v>
      </c>
      <c r="AA28" s="105"/>
      <c r="AB28" s="212">
        <f>SUM(F28:K28)</f>
        <v>9510</v>
      </c>
      <c r="AC28" s="11">
        <f>+Z28-AB28</f>
        <v>0</v>
      </c>
      <c r="AD28" s="12">
        <f t="shared" ref="AD28" si="8">+AC28/AB28</f>
        <v>0</v>
      </c>
    </row>
    <row r="29" spans="1:30" x14ac:dyDescent="0.4">
      <c r="A29" s="99"/>
      <c r="B29" s="198" t="s">
        <v>70</v>
      </c>
      <c r="C29" s="151">
        <v>161628</v>
      </c>
      <c r="D29" s="151">
        <v>13469</v>
      </c>
      <c r="E29" s="199" t="s">
        <v>19</v>
      </c>
      <c r="F29" s="151">
        <v>13469</v>
      </c>
      <c r="G29" s="151">
        <v>13469</v>
      </c>
      <c r="H29" s="151">
        <v>13469</v>
      </c>
      <c r="I29" s="151">
        <v>13469</v>
      </c>
      <c r="J29" s="151">
        <v>13469</v>
      </c>
      <c r="K29" s="151">
        <v>13469</v>
      </c>
      <c r="L29" s="151">
        <v>13469</v>
      </c>
      <c r="M29" s="151">
        <v>13469</v>
      </c>
      <c r="N29" s="151">
        <v>13469</v>
      </c>
      <c r="O29" s="151">
        <v>13469</v>
      </c>
      <c r="P29" s="151">
        <v>13469</v>
      </c>
      <c r="Q29" s="151">
        <v>13469</v>
      </c>
      <c r="R29" s="151">
        <v>161628</v>
      </c>
      <c r="S29" s="105"/>
      <c r="T29" s="151">
        <v>13469</v>
      </c>
      <c r="U29" s="151">
        <v>13469</v>
      </c>
      <c r="V29" s="151">
        <v>13469</v>
      </c>
      <c r="W29" s="151">
        <v>13469</v>
      </c>
      <c r="X29" s="151">
        <v>13469</v>
      </c>
      <c r="Y29" s="151">
        <v>13469</v>
      </c>
      <c r="Z29" s="151">
        <v>80814</v>
      </c>
      <c r="AA29" s="105"/>
      <c r="AB29" s="151">
        <f>SUM(AB27:AB28)</f>
        <v>80814</v>
      </c>
      <c r="AC29" s="151">
        <f>SUM(AC27:AC28)</f>
        <v>0</v>
      </c>
      <c r="AD29" s="12">
        <f t="shared" si="3"/>
        <v>0</v>
      </c>
    </row>
    <row r="30" spans="1:30" x14ac:dyDescent="0.4">
      <c r="A30" s="99"/>
      <c r="B30" s="198"/>
      <c r="C30" s="149"/>
      <c r="D30" s="149"/>
      <c r="E30" s="199" t="s">
        <v>19</v>
      </c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03"/>
      <c r="T30" s="149"/>
      <c r="U30" s="149"/>
      <c r="V30" s="149"/>
      <c r="W30" s="149"/>
      <c r="X30" s="149"/>
      <c r="Y30" s="149"/>
      <c r="Z30" s="149"/>
      <c r="AA30" s="101"/>
      <c r="AB30" s="149"/>
      <c r="AC30" s="4"/>
      <c r="AD30" s="5"/>
    </row>
    <row r="31" spans="1:30" x14ac:dyDescent="0.4">
      <c r="A31" s="99"/>
      <c r="B31" s="198" t="s">
        <v>71</v>
      </c>
      <c r="C31" s="151">
        <v>929506.82</v>
      </c>
      <c r="D31" s="151">
        <v>77458.901666666672</v>
      </c>
      <c r="E31" s="199" t="s">
        <v>19</v>
      </c>
      <c r="F31" s="151">
        <v>62295.4</v>
      </c>
      <c r="G31" s="151">
        <v>72105.350000000006</v>
      </c>
      <c r="H31" s="151">
        <v>67944.759999999995</v>
      </c>
      <c r="I31" s="151">
        <v>74286.03</v>
      </c>
      <c r="J31" s="151">
        <v>63332.09</v>
      </c>
      <c r="K31" s="151">
        <v>67330.320000000007</v>
      </c>
      <c r="L31" s="151">
        <v>57126.01</v>
      </c>
      <c r="M31" s="151">
        <v>58853.85</v>
      </c>
      <c r="N31" s="151">
        <v>61095.38</v>
      </c>
      <c r="O31" s="151">
        <v>49300.08</v>
      </c>
      <c r="P31" s="151">
        <v>51691.040000000001</v>
      </c>
      <c r="Q31" s="151">
        <v>52948.58</v>
      </c>
      <c r="R31" s="151">
        <v>738308.89</v>
      </c>
      <c r="S31" s="105"/>
      <c r="T31" s="151">
        <v>55443.51</v>
      </c>
      <c r="U31" s="151">
        <v>51047.73</v>
      </c>
      <c r="V31" s="151">
        <v>53868.19</v>
      </c>
      <c r="W31" s="151">
        <v>59828.41</v>
      </c>
      <c r="X31" s="151">
        <v>64183.85</v>
      </c>
      <c r="Y31" s="151">
        <v>61031.67</v>
      </c>
      <c r="Z31" s="151">
        <v>345403.36</v>
      </c>
      <c r="AA31" s="105"/>
      <c r="AB31" s="151">
        <f>SUM(F31:K31)</f>
        <v>407293.95</v>
      </c>
      <c r="AC31" s="11">
        <f>+Z31-AB31</f>
        <v>-61890.590000000026</v>
      </c>
      <c r="AD31" s="12">
        <f t="shared" si="3"/>
        <v>-0.15195558392163699</v>
      </c>
    </row>
    <row r="32" spans="1:30" x14ac:dyDescent="0.4">
      <c r="A32" s="99"/>
      <c r="B32" s="198"/>
      <c r="C32" s="149"/>
      <c r="D32" s="149"/>
      <c r="E32" s="199" t="s">
        <v>19</v>
      </c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05"/>
      <c r="T32" s="152"/>
      <c r="U32" s="152"/>
      <c r="V32" s="152"/>
      <c r="W32" s="152"/>
      <c r="X32" s="152"/>
      <c r="Y32" s="152"/>
      <c r="Z32" s="152"/>
      <c r="AA32" s="101"/>
      <c r="AB32" s="149"/>
      <c r="AC32" s="4"/>
      <c r="AD32" s="5"/>
    </row>
    <row r="33" spans="1:30" ht="15" thickBot="1" x14ac:dyDescent="0.45">
      <c r="A33" s="99"/>
      <c r="B33" s="198" t="s">
        <v>72</v>
      </c>
      <c r="C33" s="188">
        <v>-116846.37</v>
      </c>
      <c r="D33" s="188">
        <v>-9737.1975000000002</v>
      </c>
      <c r="E33" s="199" t="s">
        <v>19</v>
      </c>
      <c r="F33" s="188">
        <v>74381.61</v>
      </c>
      <c r="G33" s="188">
        <v>-35833.589999999997</v>
      </c>
      <c r="H33" s="188">
        <v>-25819.75</v>
      </c>
      <c r="I33" s="188">
        <v>-1892.35</v>
      </c>
      <c r="J33" s="188">
        <v>39729.19</v>
      </c>
      <c r="K33" s="188">
        <v>-27211.48</v>
      </c>
      <c r="L33" s="188">
        <v>-32106.93</v>
      </c>
      <c r="M33" s="188">
        <v>-16223.87</v>
      </c>
      <c r="N33" s="188">
        <v>-775.02</v>
      </c>
      <c r="O33" s="188">
        <v>-24260.9</v>
      </c>
      <c r="P33" s="188">
        <v>34775.74</v>
      </c>
      <c r="Q33" s="188">
        <v>-14539.46</v>
      </c>
      <c r="R33" s="188">
        <v>-29776.81</v>
      </c>
      <c r="S33" s="103"/>
      <c r="T33" s="153">
        <v>-1405.62</v>
      </c>
      <c r="U33" s="153">
        <v>-13294.86</v>
      </c>
      <c r="V33" s="153">
        <v>9152.19</v>
      </c>
      <c r="W33" s="153">
        <v>29600.720000000001</v>
      </c>
      <c r="X33" s="153">
        <v>-21139.49</v>
      </c>
      <c r="Y33" s="153">
        <v>-2846.87</v>
      </c>
      <c r="Z33" s="153">
        <v>66.069999999999993</v>
      </c>
      <c r="AA33" s="101"/>
      <c r="AB33" s="188">
        <f>SUM(F33:K33)</f>
        <v>23353.630000000008</v>
      </c>
      <c r="AC33" s="13">
        <f>+Z33-AB33</f>
        <v>-23287.560000000009</v>
      </c>
      <c r="AD33" s="14">
        <f t="shared" si="3"/>
        <v>-0.99717088949341071</v>
      </c>
    </row>
    <row r="34" spans="1:30" ht="15" thickTop="1" x14ac:dyDescent="0.4">
      <c r="A34" s="99"/>
      <c r="B34" s="198"/>
      <c r="C34" s="149"/>
      <c r="D34" s="149"/>
      <c r="E34" s="199" t="s">
        <v>19</v>
      </c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05"/>
      <c r="T34" s="149"/>
      <c r="U34" s="149"/>
      <c r="V34" s="149"/>
      <c r="W34" s="149"/>
      <c r="X34" s="149"/>
      <c r="Y34" s="149"/>
      <c r="Z34" s="149"/>
      <c r="AA34" s="101"/>
      <c r="AB34" s="149"/>
      <c r="AC34" s="4"/>
      <c r="AD34" s="5"/>
    </row>
    <row r="35" spans="1:30" x14ac:dyDescent="0.4">
      <c r="A35" s="99"/>
      <c r="B35" s="198" t="s">
        <v>73</v>
      </c>
      <c r="C35" s="149"/>
      <c r="D35" s="149"/>
      <c r="E35" s="199" t="s">
        <v>19</v>
      </c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05"/>
      <c r="T35" s="149"/>
      <c r="U35" s="149"/>
      <c r="V35" s="149"/>
      <c r="W35" s="149"/>
      <c r="X35" s="149"/>
      <c r="Y35" s="149"/>
      <c r="Z35" s="149"/>
      <c r="AA35" s="101"/>
      <c r="AB35" s="149"/>
      <c r="AC35" s="4"/>
      <c r="AD35" s="5"/>
    </row>
    <row r="36" spans="1:30" x14ac:dyDescent="0.4">
      <c r="A36" s="99" t="s">
        <v>75</v>
      </c>
      <c r="B36" s="198" t="s">
        <v>74</v>
      </c>
      <c r="C36" s="149"/>
      <c r="D36" s="149"/>
      <c r="E36" s="199" t="s">
        <v>19</v>
      </c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05"/>
      <c r="T36" s="149"/>
      <c r="U36" s="149"/>
      <c r="V36" s="149"/>
      <c r="W36" s="149"/>
      <c r="X36" s="149"/>
      <c r="Y36" s="149"/>
      <c r="Z36" s="149"/>
      <c r="AA36" s="105"/>
      <c r="AB36" s="149"/>
      <c r="AC36" s="4"/>
      <c r="AD36" s="5"/>
    </row>
    <row r="37" spans="1:30" x14ac:dyDescent="0.4">
      <c r="A37" s="99" t="s">
        <v>77</v>
      </c>
      <c r="B37" s="198" t="s">
        <v>76</v>
      </c>
      <c r="C37" s="150">
        <v>194446.6</v>
      </c>
      <c r="D37" s="150">
        <v>16203.883333333333</v>
      </c>
      <c r="E37" s="199" t="s">
        <v>19</v>
      </c>
      <c r="F37" s="150">
        <v>16366.84</v>
      </c>
      <c r="G37" s="150">
        <v>15556.04</v>
      </c>
      <c r="H37" s="150">
        <v>18323.400000000001</v>
      </c>
      <c r="I37" s="150">
        <v>18186.5</v>
      </c>
      <c r="J37" s="150">
        <v>15938.1</v>
      </c>
      <c r="K37" s="150">
        <v>15521.6</v>
      </c>
      <c r="L37" s="150">
        <v>15120</v>
      </c>
      <c r="M37" s="150">
        <v>13640</v>
      </c>
      <c r="N37" s="150">
        <v>13880</v>
      </c>
      <c r="O37" s="150">
        <v>12620</v>
      </c>
      <c r="P37" s="150">
        <v>12500</v>
      </c>
      <c r="Q37" s="150">
        <v>12500</v>
      </c>
      <c r="R37" s="150">
        <v>180152.48</v>
      </c>
      <c r="S37" s="105"/>
      <c r="T37" s="150">
        <v>12500</v>
      </c>
      <c r="U37" s="150">
        <v>12500</v>
      </c>
      <c r="V37" s="150">
        <v>12500</v>
      </c>
      <c r="W37" s="150">
        <v>12989.42</v>
      </c>
      <c r="X37" s="150">
        <v>16032.01</v>
      </c>
      <c r="Y37" s="150">
        <v>13333.34</v>
      </c>
      <c r="Z37" s="150">
        <v>79854.77</v>
      </c>
      <c r="AA37" s="101"/>
      <c r="AB37" s="226">
        <f t="shared" ref="AB37:AB42" si="9">SUM(F37:K37)</f>
        <v>99892.48000000001</v>
      </c>
      <c r="AC37" s="224">
        <f>+Z37-AB37</f>
        <v>-20037.710000000006</v>
      </c>
      <c r="AD37" s="8">
        <f t="shared" si="3"/>
        <v>-0.2005927773542113</v>
      </c>
    </row>
    <row r="38" spans="1:30" x14ac:dyDescent="0.4">
      <c r="A38" s="99" t="s">
        <v>79</v>
      </c>
      <c r="B38" s="198" t="s">
        <v>78</v>
      </c>
      <c r="C38" s="150">
        <v>14606.47</v>
      </c>
      <c r="D38" s="150">
        <v>1217.2058333333332</v>
      </c>
      <c r="E38" s="199" t="s">
        <v>19</v>
      </c>
      <c r="F38" s="150">
        <v>1252.07</v>
      </c>
      <c r="G38" s="150">
        <v>1190.04</v>
      </c>
      <c r="H38" s="150">
        <v>1401.75</v>
      </c>
      <c r="I38" s="150">
        <v>1391.27</v>
      </c>
      <c r="J38" s="150">
        <v>1219.28</v>
      </c>
      <c r="K38" s="150">
        <v>1187.42</v>
      </c>
      <c r="L38" s="150">
        <v>1156.69</v>
      </c>
      <c r="M38" s="150">
        <v>1043.47</v>
      </c>
      <c r="N38" s="150">
        <v>1061.83</v>
      </c>
      <c r="O38" s="150">
        <v>965.44</v>
      </c>
      <c r="P38" s="150">
        <v>956.26</v>
      </c>
      <c r="Q38" s="150">
        <v>956.26</v>
      </c>
      <c r="R38" s="150">
        <v>13781.78</v>
      </c>
      <c r="S38" s="105"/>
      <c r="T38" s="150">
        <v>956.26</v>
      </c>
      <c r="U38" s="150">
        <v>956.26</v>
      </c>
      <c r="V38" s="150">
        <v>956.26</v>
      </c>
      <c r="W38" s="150">
        <v>993.7</v>
      </c>
      <c r="X38" s="150">
        <v>1019.98</v>
      </c>
      <c r="Y38" s="150">
        <v>1020</v>
      </c>
      <c r="Z38" s="150">
        <v>5902.46</v>
      </c>
      <c r="AA38" s="101"/>
      <c r="AB38" s="226">
        <f t="shared" si="9"/>
        <v>7641.829999999999</v>
      </c>
      <c r="AC38" s="224">
        <f t="shared" ref="AC38:AC42" si="10">+Z38-AB38</f>
        <v>-1739.369999999999</v>
      </c>
      <c r="AD38" s="8">
        <f t="shared" ref="AD38:AD42" si="11">+AC38/AB38</f>
        <v>-0.22761171080748974</v>
      </c>
    </row>
    <row r="39" spans="1:30" x14ac:dyDescent="0.4">
      <c r="A39" s="99" t="s">
        <v>81</v>
      </c>
      <c r="B39" s="198" t="s">
        <v>80</v>
      </c>
      <c r="C39" s="150">
        <v>128.24</v>
      </c>
      <c r="D39" s="150">
        <v>10.686666666666699</v>
      </c>
      <c r="E39" s="199" t="s">
        <v>19</v>
      </c>
      <c r="F39" s="149"/>
      <c r="G39" s="149"/>
      <c r="H39" s="150">
        <v>27</v>
      </c>
      <c r="I39" s="150">
        <v>1147.57</v>
      </c>
      <c r="J39" s="150">
        <v>932.08</v>
      </c>
      <c r="K39" s="150">
        <v>374.7</v>
      </c>
      <c r="L39" s="150">
        <v>142.85</v>
      </c>
      <c r="M39" s="150">
        <v>71.930000000000007</v>
      </c>
      <c r="N39" s="150">
        <v>87.08</v>
      </c>
      <c r="O39" s="150">
        <v>7.57</v>
      </c>
      <c r="P39" s="149"/>
      <c r="Q39" s="149"/>
      <c r="R39" s="150">
        <v>2790.78</v>
      </c>
      <c r="S39" s="105"/>
      <c r="T39" s="149"/>
      <c r="U39" s="149"/>
      <c r="V39" s="149"/>
      <c r="W39" s="150">
        <v>819.63</v>
      </c>
      <c r="X39" s="150">
        <v>829.85</v>
      </c>
      <c r="Y39" s="150">
        <v>184.03</v>
      </c>
      <c r="Z39" s="150">
        <v>1833.51</v>
      </c>
      <c r="AA39" s="101"/>
      <c r="AB39" s="226">
        <f t="shared" si="9"/>
        <v>2481.35</v>
      </c>
      <c r="AC39" s="224">
        <f t="shared" si="10"/>
        <v>-647.83999999999992</v>
      </c>
      <c r="AD39" s="8">
        <f t="shared" si="11"/>
        <v>-0.26108368428476431</v>
      </c>
    </row>
    <row r="40" spans="1:30" x14ac:dyDescent="0.4">
      <c r="A40" s="99" t="s">
        <v>83</v>
      </c>
      <c r="B40" s="198" t="s">
        <v>82</v>
      </c>
      <c r="C40" s="150">
        <v>3931.23</v>
      </c>
      <c r="D40" s="150">
        <v>327.60250000000002</v>
      </c>
      <c r="E40" s="199" t="s">
        <v>19</v>
      </c>
      <c r="F40" s="150">
        <v>451.94</v>
      </c>
      <c r="G40" s="150">
        <v>419.14</v>
      </c>
      <c r="H40" s="150">
        <v>494.56</v>
      </c>
      <c r="I40" s="150">
        <v>363.73</v>
      </c>
      <c r="J40" s="150">
        <v>318.76</v>
      </c>
      <c r="K40" s="150">
        <v>310.43</v>
      </c>
      <c r="L40" s="150">
        <v>302.39999999999998</v>
      </c>
      <c r="M40" s="150">
        <v>272.8</v>
      </c>
      <c r="N40" s="150">
        <v>277.60000000000002</v>
      </c>
      <c r="O40" s="150">
        <v>252.4</v>
      </c>
      <c r="P40" s="150">
        <v>344.28</v>
      </c>
      <c r="Q40" s="150">
        <v>250</v>
      </c>
      <c r="R40" s="150">
        <v>4058.04</v>
      </c>
      <c r="S40" s="103"/>
      <c r="T40" s="150">
        <v>250</v>
      </c>
      <c r="U40" s="150">
        <v>250</v>
      </c>
      <c r="V40" s="150">
        <v>250</v>
      </c>
      <c r="W40" s="150">
        <v>259.79000000000002</v>
      </c>
      <c r="X40" s="150">
        <v>320.64</v>
      </c>
      <c r="Y40" s="150">
        <v>266.67</v>
      </c>
      <c r="Z40" s="150">
        <v>1597.1</v>
      </c>
      <c r="AA40" s="104"/>
      <c r="AB40" s="226">
        <f t="shared" si="9"/>
        <v>2358.56</v>
      </c>
      <c r="AC40" s="224">
        <f t="shared" si="10"/>
        <v>-761.46</v>
      </c>
      <c r="AD40" s="8">
        <f t="shared" si="11"/>
        <v>-0.32284953530968052</v>
      </c>
    </row>
    <row r="41" spans="1:30" x14ac:dyDescent="0.4">
      <c r="A41" s="99" t="s">
        <v>85</v>
      </c>
      <c r="B41" s="198" t="s">
        <v>84</v>
      </c>
      <c r="C41" s="150">
        <v>2200.08</v>
      </c>
      <c r="D41" s="150">
        <v>183.34</v>
      </c>
      <c r="E41" s="199" t="s">
        <v>19</v>
      </c>
      <c r="F41" s="150">
        <v>183.34</v>
      </c>
      <c r="G41" s="150">
        <v>183.34</v>
      </c>
      <c r="H41" s="150">
        <v>183.34</v>
      </c>
      <c r="I41" s="150">
        <v>183.34</v>
      </c>
      <c r="J41" s="150">
        <v>183.34</v>
      </c>
      <c r="K41" s="150">
        <v>183.34</v>
      </c>
      <c r="L41" s="150">
        <v>183.34</v>
      </c>
      <c r="M41" s="150">
        <v>183.34</v>
      </c>
      <c r="N41" s="150">
        <v>183.34</v>
      </c>
      <c r="O41" s="150">
        <v>183.34</v>
      </c>
      <c r="P41" s="150">
        <v>183.34</v>
      </c>
      <c r="Q41" s="150">
        <v>183.34</v>
      </c>
      <c r="R41" s="150">
        <v>2200.08</v>
      </c>
      <c r="S41" s="103"/>
      <c r="T41" s="150">
        <v>183.34</v>
      </c>
      <c r="U41" s="150">
        <v>183.34</v>
      </c>
      <c r="V41" s="150">
        <v>183.34</v>
      </c>
      <c r="W41" s="150">
        <v>183.34</v>
      </c>
      <c r="X41" s="150">
        <v>183.34</v>
      </c>
      <c r="Y41" s="150">
        <v>183.34</v>
      </c>
      <c r="Z41" s="150">
        <v>1100.04</v>
      </c>
      <c r="AA41" s="104"/>
      <c r="AB41" s="226">
        <f t="shared" si="9"/>
        <v>1100.04</v>
      </c>
      <c r="AC41" s="224">
        <f t="shared" si="10"/>
        <v>0</v>
      </c>
      <c r="AD41" s="8">
        <f t="shared" si="11"/>
        <v>0</v>
      </c>
    </row>
    <row r="42" spans="1:30" x14ac:dyDescent="0.4">
      <c r="A42" s="99"/>
      <c r="B42" s="198" t="s">
        <v>86</v>
      </c>
      <c r="C42" s="151">
        <v>36268.36</v>
      </c>
      <c r="D42" s="151">
        <v>3022.3633333333332</v>
      </c>
      <c r="E42" s="199" t="s">
        <v>19</v>
      </c>
      <c r="F42" s="151">
        <v>4794.6499999999996</v>
      </c>
      <c r="G42" s="151">
        <v>4027.5</v>
      </c>
      <c r="H42" s="151">
        <v>4792.42</v>
      </c>
      <c r="I42" s="151">
        <v>4734.93</v>
      </c>
      <c r="J42" s="151">
        <v>3686.11</v>
      </c>
      <c r="K42" s="151">
        <v>3636.69</v>
      </c>
      <c r="L42" s="151">
        <v>3655.03</v>
      </c>
      <c r="M42" s="151">
        <v>3655.03</v>
      </c>
      <c r="N42" s="151">
        <v>3655.03</v>
      </c>
      <c r="O42" s="151">
        <v>3655.03</v>
      </c>
      <c r="P42" s="151">
        <v>3319.66</v>
      </c>
      <c r="Q42" s="151">
        <v>1852.18</v>
      </c>
      <c r="R42" s="151">
        <v>45464.26</v>
      </c>
      <c r="S42" s="103"/>
      <c r="T42" s="151">
        <v>3054.08</v>
      </c>
      <c r="U42" s="151">
        <v>3054.08</v>
      </c>
      <c r="V42" s="151">
        <v>3433.97</v>
      </c>
      <c r="W42" s="151">
        <v>3411.86</v>
      </c>
      <c r="X42" s="151">
        <v>3411.86</v>
      </c>
      <c r="Y42" s="151">
        <v>3586.69</v>
      </c>
      <c r="Z42" s="151">
        <v>19952.54</v>
      </c>
      <c r="AA42" s="104"/>
      <c r="AB42" s="212">
        <f t="shared" si="9"/>
        <v>25672.3</v>
      </c>
      <c r="AC42" s="11">
        <f t="shared" si="10"/>
        <v>-5719.7599999999984</v>
      </c>
      <c r="AD42" s="12">
        <f t="shared" si="11"/>
        <v>-0.22279889219119434</v>
      </c>
    </row>
    <row r="43" spans="1:30" x14ac:dyDescent="0.4">
      <c r="A43" s="99"/>
      <c r="B43" s="198" t="s">
        <v>89</v>
      </c>
      <c r="C43" s="151">
        <v>251580.98</v>
      </c>
      <c r="D43" s="151">
        <v>20965.081666666665</v>
      </c>
      <c r="E43" s="199" t="s">
        <v>19</v>
      </c>
      <c r="F43" s="151">
        <v>23048.84</v>
      </c>
      <c r="G43" s="151">
        <v>21376.06</v>
      </c>
      <c r="H43" s="151">
        <v>25222.47</v>
      </c>
      <c r="I43" s="151">
        <v>26007.34</v>
      </c>
      <c r="J43" s="151">
        <v>22277.67</v>
      </c>
      <c r="K43" s="151">
        <v>21214.18</v>
      </c>
      <c r="L43" s="151">
        <v>20560.310000000001</v>
      </c>
      <c r="M43" s="151">
        <v>18866.57</v>
      </c>
      <c r="N43" s="151">
        <v>19144.88</v>
      </c>
      <c r="O43" s="151">
        <v>17683.78</v>
      </c>
      <c r="P43" s="151">
        <v>17303.54</v>
      </c>
      <c r="Q43" s="151">
        <v>15741.78</v>
      </c>
      <c r="R43" s="151">
        <v>248447.42</v>
      </c>
      <c r="S43" s="103"/>
      <c r="T43" s="151">
        <v>16943.68</v>
      </c>
      <c r="U43" s="151">
        <v>16943.68</v>
      </c>
      <c r="V43" s="151">
        <v>17323.57</v>
      </c>
      <c r="W43" s="151">
        <v>18657.740000000002</v>
      </c>
      <c r="X43" s="151">
        <v>21797.68</v>
      </c>
      <c r="Y43" s="151">
        <v>18574.07</v>
      </c>
      <c r="Z43" s="151">
        <v>110240.42</v>
      </c>
      <c r="AA43" s="104"/>
      <c r="AB43" s="151">
        <f>SUM(AB37:AB42)</f>
        <v>139146.56</v>
      </c>
      <c r="AC43" s="151">
        <f>SUM(AC37:AC42)</f>
        <v>-28906.140000000003</v>
      </c>
      <c r="AD43" s="12">
        <f t="shared" si="3"/>
        <v>-0.20773880432257905</v>
      </c>
    </row>
    <row r="44" spans="1:30" x14ac:dyDescent="0.4">
      <c r="A44" s="99"/>
      <c r="B44" s="198"/>
      <c r="C44" s="149"/>
      <c r="D44" s="149"/>
      <c r="E44" s="199" t="s">
        <v>19</v>
      </c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49"/>
      <c r="Q44" s="149"/>
      <c r="R44" s="149"/>
      <c r="S44" s="105"/>
      <c r="T44" s="149"/>
      <c r="U44" s="149"/>
      <c r="V44" s="149"/>
      <c r="W44" s="149"/>
      <c r="X44" s="149"/>
      <c r="Y44" s="149"/>
      <c r="Z44" s="149"/>
      <c r="AA44" s="104"/>
      <c r="AB44" s="149"/>
      <c r="AC44" s="4"/>
      <c r="AD44" s="5"/>
    </row>
    <row r="45" spans="1:30" x14ac:dyDescent="0.4">
      <c r="A45" s="99"/>
      <c r="B45" s="198" t="s">
        <v>57</v>
      </c>
      <c r="C45" s="149"/>
      <c r="D45" s="149"/>
      <c r="E45" s="199" t="s">
        <v>19</v>
      </c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  <c r="S45" s="105"/>
      <c r="T45" s="149"/>
      <c r="U45" s="149"/>
      <c r="V45" s="149"/>
      <c r="W45" s="149"/>
      <c r="X45" s="149"/>
      <c r="Y45" s="149"/>
      <c r="Z45" s="149"/>
      <c r="AA45" s="105"/>
      <c r="AB45" s="149"/>
      <c r="AC45" s="4"/>
      <c r="AD45" s="5"/>
    </row>
    <row r="46" spans="1:30" x14ac:dyDescent="0.4">
      <c r="A46" s="99"/>
      <c r="B46" s="198"/>
      <c r="C46" s="149"/>
      <c r="D46" s="149"/>
      <c r="E46" s="199" t="s">
        <v>19</v>
      </c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  <c r="S46" s="105"/>
      <c r="T46" s="149"/>
      <c r="U46" s="149"/>
      <c r="V46" s="149"/>
      <c r="W46" s="149"/>
      <c r="X46" s="149"/>
      <c r="Y46" s="149"/>
      <c r="Z46" s="149"/>
      <c r="AA46" s="105"/>
      <c r="AB46" s="149"/>
      <c r="AC46" s="4"/>
      <c r="AD46" s="5"/>
    </row>
    <row r="47" spans="1:30" x14ac:dyDescent="0.4">
      <c r="A47" s="99" t="s">
        <v>97</v>
      </c>
      <c r="B47" s="198" t="s">
        <v>96</v>
      </c>
      <c r="C47" s="149"/>
      <c r="D47" s="149"/>
      <c r="E47" s="199" t="s">
        <v>19</v>
      </c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  <c r="S47" s="103"/>
      <c r="T47" s="149"/>
      <c r="U47" s="149"/>
      <c r="V47" s="149"/>
      <c r="W47" s="149"/>
      <c r="X47" s="149"/>
      <c r="Y47" s="149"/>
      <c r="Z47" s="149"/>
      <c r="AA47" s="101"/>
      <c r="AB47" s="149"/>
      <c r="AC47" s="4"/>
      <c r="AD47" s="5"/>
    </row>
    <row r="48" spans="1:30" x14ac:dyDescent="0.4">
      <c r="A48" s="99" t="s">
        <v>99</v>
      </c>
      <c r="B48" s="198" t="s">
        <v>98</v>
      </c>
      <c r="C48" s="150">
        <v>35176.49</v>
      </c>
      <c r="D48" s="150">
        <v>2931.3741666666665</v>
      </c>
      <c r="E48" s="199" t="s">
        <v>19</v>
      </c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R48" s="149"/>
      <c r="S48" s="105"/>
      <c r="T48" s="149"/>
      <c r="U48" s="149"/>
      <c r="V48" s="149"/>
      <c r="W48" s="149"/>
      <c r="X48" s="149"/>
      <c r="Y48" s="149"/>
      <c r="Z48" s="149"/>
      <c r="AA48" s="101"/>
      <c r="AB48" s="226">
        <f>SUM(F48:K48)</f>
        <v>0</v>
      </c>
      <c r="AC48" s="224">
        <f>+Z48-AB48</f>
        <v>0</v>
      </c>
      <c r="AD48" s="8" t="e">
        <f t="shared" si="3"/>
        <v>#DIV/0!</v>
      </c>
    </row>
    <row r="49" spans="1:30" x14ac:dyDescent="0.4">
      <c r="A49" s="99"/>
      <c r="B49" s="198" t="s">
        <v>100</v>
      </c>
      <c r="C49" s="151">
        <v>375</v>
      </c>
      <c r="D49" s="151">
        <v>31.25</v>
      </c>
      <c r="E49" s="199" t="s">
        <v>19</v>
      </c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2"/>
      <c r="Q49" s="152"/>
      <c r="R49" s="152"/>
      <c r="S49" s="103"/>
      <c r="T49" s="152"/>
      <c r="U49" s="152"/>
      <c r="V49" s="152"/>
      <c r="W49" s="152"/>
      <c r="X49" s="152"/>
      <c r="Y49" s="152"/>
      <c r="Z49" s="152"/>
      <c r="AA49" s="101"/>
      <c r="AB49" s="212">
        <f>SUM(F49:K49)</f>
        <v>0</v>
      </c>
      <c r="AC49" s="11">
        <f>+Z49-AB49</f>
        <v>0</v>
      </c>
      <c r="AD49" s="12" t="e">
        <f t="shared" ref="AD49" si="12">+AC49/AB49</f>
        <v>#DIV/0!</v>
      </c>
    </row>
    <row r="50" spans="1:30" x14ac:dyDescent="0.4">
      <c r="A50" s="99"/>
      <c r="B50" s="198" t="s">
        <v>101</v>
      </c>
      <c r="C50" s="151">
        <v>35551.49</v>
      </c>
      <c r="D50" s="151">
        <v>2962.6241666666665</v>
      </c>
      <c r="E50" s="199" t="s">
        <v>19</v>
      </c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1"/>
      <c r="Q50" s="151"/>
      <c r="R50" s="151"/>
      <c r="S50" s="103"/>
      <c r="T50" s="151"/>
      <c r="U50" s="151"/>
      <c r="V50" s="151"/>
      <c r="W50" s="151"/>
      <c r="X50" s="151"/>
      <c r="Y50" s="151"/>
      <c r="Z50" s="151"/>
      <c r="AA50" s="101"/>
      <c r="AB50" s="151">
        <f>SUM(AB48:AB49)</f>
        <v>0</v>
      </c>
      <c r="AC50" s="151">
        <f>SUM(AC48:AC49)</f>
        <v>0</v>
      </c>
      <c r="AD50" s="12" t="e">
        <f t="shared" si="3"/>
        <v>#DIV/0!</v>
      </c>
    </row>
    <row r="51" spans="1:30" x14ac:dyDescent="0.4">
      <c r="A51" s="99"/>
      <c r="B51" s="198"/>
      <c r="C51" s="149"/>
      <c r="D51" s="149"/>
      <c r="E51" s="199" t="s">
        <v>19</v>
      </c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05"/>
      <c r="T51" s="149"/>
      <c r="U51" s="149"/>
      <c r="V51" s="149"/>
      <c r="W51" s="149"/>
      <c r="X51" s="149"/>
      <c r="Y51" s="149"/>
      <c r="Z51" s="149"/>
      <c r="AA51" s="101"/>
      <c r="AB51" s="149"/>
      <c r="AC51" s="4"/>
      <c r="AD51" s="5"/>
    </row>
    <row r="52" spans="1:30" x14ac:dyDescent="0.4">
      <c r="A52" s="99"/>
      <c r="B52" s="198" t="s">
        <v>102</v>
      </c>
      <c r="C52" s="151">
        <v>35551.49</v>
      </c>
      <c r="D52" s="151">
        <v>2962.6241666666665</v>
      </c>
      <c r="E52" s="199" t="s">
        <v>19</v>
      </c>
      <c r="F52" s="151"/>
      <c r="G52" s="151"/>
      <c r="H52" s="151"/>
      <c r="I52" s="151"/>
      <c r="J52" s="151"/>
      <c r="K52" s="151"/>
      <c r="L52" s="151"/>
      <c r="M52" s="151"/>
      <c r="N52" s="151"/>
      <c r="O52" s="151"/>
      <c r="P52" s="151"/>
      <c r="Q52" s="151"/>
      <c r="R52" s="151"/>
      <c r="S52" s="105"/>
      <c r="T52" s="151"/>
      <c r="U52" s="151"/>
      <c r="V52" s="151"/>
      <c r="W52" s="151"/>
      <c r="X52" s="151"/>
      <c r="Y52" s="151"/>
      <c r="Z52" s="151"/>
      <c r="AA52" s="103"/>
      <c r="AB52" s="151">
        <f>SUM(F52:K52)</f>
        <v>0</v>
      </c>
      <c r="AC52" s="11">
        <f>+Z52-AB52</f>
        <v>0</v>
      </c>
      <c r="AD52" s="12" t="e">
        <f t="shared" si="3"/>
        <v>#DIV/0!</v>
      </c>
    </row>
    <row r="53" spans="1:30" x14ac:dyDescent="0.4">
      <c r="A53" s="99"/>
      <c r="B53" s="198"/>
      <c r="C53" s="149"/>
      <c r="D53" s="149"/>
      <c r="E53" s="199" t="s">
        <v>19</v>
      </c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05"/>
      <c r="T53" s="149"/>
      <c r="U53" s="149"/>
      <c r="V53" s="149"/>
      <c r="W53" s="149"/>
      <c r="X53" s="149"/>
      <c r="Y53" s="149"/>
      <c r="Z53" s="149"/>
      <c r="AA53" s="105"/>
      <c r="AB53" s="149"/>
      <c r="AC53" s="4"/>
      <c r="AD53" s="5"/>
    </row>
    <row r="54" spans="1:30" x14ac:dyDescent="0.4">
      <c r="A54" s="99" t="s">
        <v>104</v>
      </c>
      <c r="B54" s="198" t="s">
        <v>103</v>
      </c>
      <c r="C54" s="149"/>
      <c r="D54" s="149"/>
      <c r="E54" s="199" t="s">
        <v>19</v>
      </c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03"/>
      <c r="T54" s="149"/>
      <c r="U54" s="149"/>
      <c r="V54" s="149"/>
      <c r="W54" s="149"/>
      <c r="X54" s="149"/>
      <c r="Y54" s="149"/>
      <c r="Z54" s="149"/>
      <c r="AA54" s="101"/>
      <c r="AB54" s="149"/>
      <c r="AC54" s="4"/>
      <c r="AD54" s="5"/>
    </row>
    <row r="55" spans="1:30" x14ac:dyDescent="0.4">
      <c r="A55" s="99" t="s">
        <v>108</v>
      </c>
      <c r="B55" s="198" t="s">
        <v>105</v>
      </c>
      <c r="C55" s="150">
        <v>47126.95</v>
      </c>
      <c r="D55" s="150">
        <v>3927.2458333333334</v>
      </c>
      <c r="E55" s="199" t="s">
        <v>19</v>
      </c>
      <c r="F55" s="150">
        <v>2331.94</v>
      </c>
      <c r="G55" s="150">
        <v>3378.45</v>
      </c>
      <c r="H55" s="150">
        <v>2558.9699999999998</v>
      </c>
      <c r="I55" s="150">
        <v>3338.16</v>
      </c>
      <c r="J55" s="150">
        <v>1553.73</v>
      </c>
      <c r="K55" s="150">
        <v>1778.89</v>
      </c>
      <c r="L55" s="150">
        <v>1956.67</v>
      </c>
      <c r="M55" s="150">
        <v>1679.46</v>
      </c>
      <c r="N55" s="150">
        <v>1485.58</v>
      </c>
      <c r="O55" s="150">
        <v>1513.42</v>
      </c>
      <c r="P55" s="150">
        <v>1494.78</v>
      </c>
      <c r="Q55" s="150">
        <v>1952.39</v>
      </c>
      <c r="R55" s="150">
        <v>25022.44</v>
      </c>
      <c r="S55" s="105"/>
      <c r="T55" s="150">
        <v>1540.98</v>
      </c>
      <c r="U55" s="150">
        <v>1544.73</v>
      </c>
      <c r="V55" s="150">
        <v>1524.98</v>
      </c>
      <c r="W55" s="150">
        <v>1538.52</v>
      </c>
      <c r="X55" s="150">
        <v>2545.29</v>
      </c>
      <c r="Y55" s="150">
        <v>2321.4299999999998</v>
      </c>
      <c r="Z55" s="150">
        <v>11015.93</v>
      </c>
      <c r="AA55" s="105"/>
      <c r="AB55" s="226">
        <f t="shared" ref="AB55:AB69" si="13">SUM(F55:K55)</f>
        <v>14940.139999999998</v>
      </c>
      <c r="AC55" s="224">
        <f>+Z55-AB55</f>
        <v>-3924.2099999999973</v>
      </c>
      <c r="AD55" s="8">
        <f t="shared" si="3"/>
        <v>-0.26266219727525969</v>
      </c>
    </row>
    <row r="56" spans="1:30" x14ac:dyDescent="0.4">
      <c r="A56" s="99" t="s">
        <v>110</v>
      </c>
      <c r="B56" s="198" t="s">
        <v>109</v>
      </c>
      <c r="C56" s="150">
        <v>17946.78</v>
      </c>
      <c r="D56" s="150">
        <v>1495.5650000000001</v>
      </c>
      <c r="E56" s="199" t="s">
        <v>19</v>
      </c>
      <c r="F56" s="150">
        <v>1298.3599999999999</v>
      </c>
      <c r="G56" s="150">
        <v>1465.24</v>
      </c>
      <c r="H56" s="150">
        <v>1465.94</v>
      </c>
      <c r="I56" s="150">
        <v>1466.72</v>
      </c>
      <c r="J56" s="150">
        <v>1476.78</v>
      </c>
      <c r="K56" s="150">
        <v>1466.72</v>
      </c>
      <c r="L56" s="150">
        <v>1466.72</v>
      </c>
      <c r="M56" s="150">
        <v>1601.74</v>
      </c>
      <c r="N56" s="150">
        <v>1341.76</v>
      </c>
      <c r="O56" s="150">
        <v>1095.3599999999999</v>
      </c>
      <c r="P56" s="150">
        <v>1434.23</v>
      </c>
      <c r="Q56" s="150">
        <v>1763.63</v>
      </c>
      <c r="R56" s="150">
        <v>17343.2</v>
      </c>
      <c r="S56" s="105"/>
      <c r="T56" s="150">
        <v>1486.02</v>
      </c>
      <c r="U56" s="150">
        <v>1424.92</v>
      </c>
      <c r="V56" s="150">
        <v>1434.96</v>
      </c>
      <c r="W56" s="150">
        <v>1454.05</v>
      </c>
      <c r="X56" s="150">
        <v>1464.09</v>
      </c>
      <c r="Y56" s="150">
        <v>1115.3499999999999</v>
      </c>
      <c r="Z56" s="150">
        <v>8379.39</v>
      </c>
      <c r="AA56" s="101"/>
      <c r="AB56" s="226">
        <f t="shared" si="13"/>
        <v>8639.76</v>
      </c>
      <c r="AC56" s="224">
        <f t="shared" ref="AC56:AC69" si="14">+Z56-AB56</f>
        <v>-260.3700000000008</v>
      </c>
      <c r="AD56" s="8">
        <f t="shared" ref="AD56:AD69" si="15">+AC56/AB56</f>
        <v>-3.0136253784827448E-2</v>
      </c>
    </row>
    <row r="57" spans="1:30" x14ac:dyDescent="0.4">
      <c r="A57" s="99" t="s">
        <v>112</v>
      </c>
      <c r="B57" s="198" t="s">
        <v>111</v>
      </c>
      <c r="C57" s="150">
        <v>3305.88</v>
      </c>
      <c r="D57" s="150">
        <v>275.49</v>
      </c>
      <c r="E57" s="199" t="s">
        <v>19</v>
      </c>
      <c r="F57" s="149"/>
      <c r="G57" s="149"/>
      <c r="H57" s="149"/>
      <c r="I57" s="149"/>
      <c r="J57" s="149"/>
      <c r="K57" s="149"/>
      <c r="L57" s="149"/>
      <c r="M57" s="149"/>
      <c r="N57" s="149"/>
      <c r="O57" s="149"/>
      <c r="P57" s="150">
        <v>22</v>
      </c>
      <c r="Q57" s="149"/>
      <c r="R57" s="150">
        <v>22</v>
      </c>
      <c r="S57" s="105"/>
      <c r="T57" s="149"/>
      <c r="U57" s="149"/>
      <c r="V57" s="150">
        <v>248</v>
      </c>
      <c r="W57" s="149"/>
      <c r="X57" s="150">
        <v>1287.75</v>
      </c>
      <c r="Y57" s="150">
        <v>186.64</v>
      </c>
      <c r="Z57" s="150">
        <v>1722.39</v>
      </c>
      <c r="AA57" s="101"/>
      <c r="AB57" s="226">
        <f t="shared" si="13"/>
        <v>0</v>
      </c>
      <c r="AC57" s="224">
        <f t="shared" si="14"/>
        <v>1722.39</v>
      </c>
      <c r="AD57" s="8" t="e">
        <f t="shared" si="15"/>
        <v>#DIV/0!</v>
      </c>
    </row>
    <row r="58" spans="1:30" x14ac:dyDescent="0.4">
      <c r="A58" s="99" t="s">
        <v>114</v>
      </c>
      <c r="B58" s="198" t="s">
        <v>115</v>
      </c>
      <c r="C58" s="150">
        <v>90151.3</v>
      </c>
      <c r="D58" s="150">
        <v>7512.6083333333336</v>
      </c>
      <c r="E58" s="199" t="s">
        <v>19</v>
      </c>
      <c r="F58" s="150">
        <v>6308.5</v>
      </c>
      <c r="G58" s="150">
        <v>5625.5</v>
      </c>
      <c r="H58" s="150">
        <v>5304</v>
      </c>
      <c r="I58" s="150">
        <v>5948</v>
      </c>
      <c r="J58" s="150">
        <v>5204</v>
      </c>
      <c r="K58" s="150">
        <v>4040</v>
      </c>
      <c r="L58" s="150">
        <v>3517.5</v>
      </c>
      <c r="M58" s="150">
        <v>3802.5</v>
      </c>
      <c r="N58" s="150">
        <v>3472.5</v>
      </c>
      <c r="O58" s="150">
        <v>1395</v>
      </c>
      <c r="P58" s="150">
        <v>1537.5</v>
      </c>
      <c r="Q58" s="150">
        <v>1185</v>
      </c>
      <c r="R58" s="150">
        <v>47340</v>
      </c>
      <c r="S58" s="105"/>
      <c r="T58" s="150">
        <v>1387.5</v>
      </c>
      <c r="U58" s="150">
        <v>1095</v>
      </c>
      <c r="V58" s="150">
        <v>1305</v>
      </c>
      <c r="W58" s="150">
        <v>1245</v>
      </c>
      <c r="X58" s="150">
        <v>1410</v>
      </c>
      <c r="Y58" s="150">
        <v>1282.5</v>
      </c>
      <c r="Z58" s="150">
        <v>7725</v>
      </c>
      <c r="AA58" s="104"/>
      <c r="AB58" s="226">
        <f t="shared" si="13"/>
        <v>32430</v>
      </c>
      <c r="AC58" s="224">
        <f t="shared" si="14"/>
        <v>-24705</v>
      </c>
      <c r="AD58" s="8">
        <f t="shared" si="15"/>
        <v>-0.76179463459759478</v>
      </c>
    </row>
    <row r="59" spans="1:30" x14ac:dyDescent="0.4">
      <c r="A59" s="99" t="s">
        <v>116</v>
      </c>
      <c r="B59" s="198" t="s">
        <v>117</v>
      </c>
      <c r="C59" s="150">
        <v>7546.5</v>
      </c>
      <c r="D59" s="150">
        <v>628.875</v>
      </c>
      <c r="E59" s="199" t="s">
        <v>19</v>
      </c>
      <c r="F59" s="150">
        <v>154</v>
      </c>
      <c r="G59" s="149"/>
      <c r="H59" s="149"/>
      <c r="I59" s="149"/>
      <c r="J59" s="149"/>
      <c r="K59" s="149"/>
      <c r="L59" s="149"/>
      <c r="M59" s="149"/>
      <c r="N59" s="149"/>
      <c r="O59" s="149"/>
      <c r="P59" s="149"/>
      <c r="Q59" s="149"/>
      <c r="R59" s="150">
        <v>154</v>
      </c>
      <c r="S59" s="105"/>
      <c r="T59" s="150">
        <v>2586.79</v>
      </c>
      <c r="U59" s="150">
        <v>1522.5</v>
      </c>
      <c r="V59" s="149"/>
      <c r="W59" s="149"/>
      <c r="X59" s="149"/>
      <c r="Y59" s="149"/>
      <c r="Z59" s="150">
        <v>4109.29</v>
      </c>
      <c r="AA59" s="104"/>
      <c r="AB59" s="226">
        <f t="shared" si="13"/>
        <v>154</v>
      </c>
      <c r="AC59" s="224">
        <f t="shared" si="14"/>
        <v>3955.29</v>
      </c>
      <c r="AD59" s="8">
        <f t="shared" si="15"/>
        <v>25.683701298701298</v>
      </c>
    </row>
    <row r="60" spans="1:30" x14ac:dyDescent="0.4">
      <c r="A60" s="99" t="s">
        <v>128</v>
      </c>
      <c r="B60" s="198" t="s">
        <v>129</v>
      </c>
      <c r="C60" s="150">
        <v>13658.44</v>
      </c>
      <c r="D60" s="150">
        <v>1138.2033333333334</v>
      </c>
      <c r="E60" s="199" t="s">
        <v>19</v>
      </c>
      <c r="F60" s="150">
        <v>1182.79</v>
      </c>
      <c r="G60" s="150">
        <v>1203.1300000000001</v>
      </c>
      <c r="H60" s="150">
        <v>1149.99</v>
      </c>
      <c r="I60" s="150">
        <v>1494.42</v>
      </c>
      <c r="J60" s="150">
        <v>1280.5999999999999</v>
      </c>
      <c r="K60" s="150">
        <v>1194.81</v>
      </c>
      <c r="L60" s="150">
        <v>1004.39</v>
      </c>
      <c r="M60" s="150">
        <v>1032.6199999999999</v>
      </c>
      <c r="N60" s="150">
        <v>1081.26</v>
      </c>
      <c r="O60" s="150">
        <v>1002.57</v>
      </c>
      <c r="P60" s="150">
        <v>997.21</v>
      </c>
      <c r="Q60" s="150">
        <v>1002.09</v>
      </c>
      <c r="R60" s="150">
        <v>13625.88</v>
      </c>
      <c r="S60" s="105"/>
      <c r="T60" s="150">
        <v>1037.5</v>
      </c>
      <c r="U60" s="150">
        <v>987.34</v>
      </c>
      <c r="V60" s="150">
        <v>955.61</v>
      </c>
      <c r="W60" s="150">
        <v>1249.6600000000001</v>
      </c>
      <c r="X60" s="150">
        <v>1331.75</v>
      </c>
      <c r="Y60" s="150">
        <v>1277.22</v>
      </c>
      <c r="Z60" s="150">
        <v>6839.08</v>
      </c>
      <c r="AA60" s="101"/>
      <c r="AB60" s="226">
        <f t="shared" si="13"/>
        <v>7505.74</v>
      </c>
      <c r="AC60" s="224">
        <f t="shared" si="14"/>
        <v>-666.65999999999985</v>
      </c>
      <c r="AD60" s="8">
        <f t="shared" si="15"/>
        <v>-8.882002307567273E-2</v>
      </c>
    </row>
    <row r="61" spans="1:30" x14ac:dyDescent="0.4">
      <c r="A61" s="99" t="s">
        <v>132</v>
      </c>
      <c r="B61" s="198" t="s">
        <v>133</v>
      </c>
      <c r="C61" s="150">
        <v>125.86</v>
      </c>
      <c r="D61" s="150">
        <v>10.4883333333333</v>
      </c>
      <c r="E61" s="199" t="s">
        <v>19</v>
      </c>
      <c r="F61" s="149"/>
      <c r="G61" s="149"/>
      <c r="H61" s="149"/>
      <c r="I61" s="149"/>
      <c r="J61" s="149"/>
      <c r="K61" s="149"/>
      <c r="L61" s="149"/>
      <c r="M61" s="149"/>
      <c r="N61" s="149"/>
      <c r="O61" s="149"/>
      <c r="P61" s="149"/>
      <c r="Q61" s="149"/>
      <c r="R61" s="149"/>
      <c r="S61" s="103"/>
      <c r="T61" s="149"/>
      <c r="U61" s="149"/>
      <c r="V61" s="149"/>
      <c r="W61" s="149"/>
      <c r="X61" s="149"/>
      <c r="Y61" s="149"/>
      <c r="Z61" s="149"/>
      <c r="AA61" s="104"/>
      <c r="AB61" s="226">
        <f t="shared" si="13"/>
        <v>0</v>
      </c>
      <c r="AC61" s="224">
        <f t="shared" si="14"/>
        <v>0</v>
      </c>
      <c r="AD61" s="8" t="e">
        <f t="shared" si="15"/>
        <v>#DIV/0!</v>
      </c>
    </row>
    <row r="62" spans="1:30" x14ac:dyDescent="0.4">
      <c r="A62" s="99" t="s">
        <v>134</v>
      </c>
      <c r="B62" s="198" t="s">
        <v>135</v>
      </c>
      <c r="C62" s="150">
        <v>17896.7</v>
      </c>
      <c r="D62" s="150">
        <v>1491.3916666666667</v>
      </c>
      <c r="E62" s="199" t="s">
        <v>19</v>
      </c>
      <c r="F62" s="150">
        <v>491.38</v>
      </c>
      <c r="G62" s="150">
        <v>5261.41</v>
      </c>
      <c r="H62" s="150">
        <v>2560.33</v>
      </c>
      <c r="I62" s="150">
        <v>1197.67</v>
      </c>
      <c r="J62" s="150">
        <v>719.54</v>
      </c>
      <c r="K62" s="150">
        <v>1547.78</v>
      </c>
      <c r="L62" s="150">
        <v>479.22</v>
      </c>
      <c r="M62" s="150">
        <v>7058</v>
      </c>
      <c r="N62" s="150">
        <v>170</v>
      </c>
      <c r="O62" s="150">
        <v>421.53</v>
      </c>
      <c r="P62" s="150">
        <v>875</v>
      </c>
      <c r="Q62" s="150">
        <v>790.9</v>
      </c>
      <c r="R62" s="150">
        <v>21572.76</v>
      </c>
      <c r="S62" s="105"/>
      <c r="T62" s="150">
        <v>402.47</v>
      </c>
      <c r="U62" s="150">
        <v>271.99</v>
      </c>
      <c r="V62" s="150">
        <v>696.82</v>
      </c>
      <c r="W62" s="150">
        <v>1154.72</v>
      </c>
      <c r="X62" s="150">
        <v>2938.08</v>
      </c>
      <c r="Y62" s="150">
        <v>345.88</v>
      </c>
      <c r="Z62" s="150">
        <v>5809.96</v>
      </c>
      <c r="AA62" s="104"/>
      <c r="AB62" s="226">
        <f t="shared" si="13"/>
        <v>11778.109999999999</v>
      </c>
      <c r="AC62" s="224">
        <f t="shared" si="14"/>
        <v>-5968.1499999999987</v>
      </c>
      <c r="AD62" s="8">
        <f t="shared" si="15"/>
        <v>-0.50671542378191403</v>
      </c>
    </row>
    <row r="63" spans="1:30" x14ac:dyDescent="0.4">
      <c r="A63" s="99" t="s">
        <v>136</v>
      </c>
      <c r="B63" s="198" t="s">
        <v>137</v>
      </c>
      <c r="C63" s="150">
        <v>44.99</v>
      </c>
      <c r="D63" s="150">
        <v>3.7491666666666998</v>
      </c>
      <c r="E63" s="199" t="s">
        <v>19</v>
      </c>
      <c r="F63" s="149"/>
      <c r="G63" s="150">
        <v>47.8</v>
      </c>
      <c r="H63" s="149"/>
      <c r="I63" s="149"/>
      <c r="J63" s="149"/>
      <c r="K63" s="149"/>
      <c r="L63" s="149"/>
      <c r="M63" s="149"/>
      <c r="N63" s="149"/>
      <c r="O63" s="149"/>
      <c r="P63" s="149"/>
      <c r="Q63" s="149"/>
      <c r="R63" s="150">
        <v>47.8</v>
      </c>
      <c r="S63" s="105"/>
      <c r="T63" s="149"/>
      <c r="U63" s="149"/>
      <c r="V63" s="149"/>
      <c r="W63" s="149"/>
      <c r="X63" s="149"/>
      <c r="Y63" s="149"/>
      <c r="Z63" s="149"/>
      <c r="AA63" s="104"/>
      <c r="AB63" s="226">
        <f t="shared" si="13"/>
        <v>47.8</v>
      </c>
      <c r="AC63" s="224">
        <f t="shared" si="14"/>
        <v>-47.8</v>
      </c>
      <c r="AD63" s="8">
        <f t="shared" si="15"/>
        <v>-1</v>
      </c>
    </row>
    <row r="64" spans="1:30" x14ac:dyDescent="0.4">
      <c r="A64" s="99" t="s">
        <v>138</v>
      </c>
      <c r="B64" s="198" t="s">
        <v>139</v>
      </c>
      <c r="C64" s="149"/>
      <c r="D64" s="150"/>
      <c r="E64" s="199" t="s">
        <v>19</v>
      </c>
      <c r="F64" s="150">
        <v>53.56</v>
      </c>
      <c r="G64" s="149"/>
      <c r="H64" s="149"/>
      <c r="I64" s="149"/>
      <c r="J64" s="149"/>
      <c r="K64" s="149"/>
      <c r="L64" s="149"/>
      <c r="M64" s="150"/>
      <c r="N64" s="150">
        <v>98.66</v>
      </c>
      <c r="O64" s="149"/>
      <c r="P64" s="149"/>
      <c r="Q64" s="149"/>
      <c r="R64" s="150">
        <v>152.22</v>
      </c>
      <c r="S64" s="105"/>
      <c r="T64" s="149"/>
      <c r="U64" s="149"/>
      <c r="V64" s="149"/>
      <c r="W64" s="150">
        <v>4557.78</v>
      </c>
      <c r="X64" s="149"/>
      <c r="Y64" s="149"/>
      <c r="Z64" s="150">
        <v>4557.78</v>
      </c>
      <c r="AA64" s="101"/>
      <c r="AB64" s="226">
        <f t="shared" si="13"/>
        <v>53.56</v>
      </c>
      <c r="AC64" s="224">
        <f t="shared" si="14"/>
        <v>4504.2199999999993</v>
      </c>
      <c r="AD64" s="8">
        <f t="shared" si="15"/>
        <v>84.096713965645989</v>
      </c>
    </row>
    <row r="65" spans="1:30" x14ac:dyDescent="0.4">
      <c r="A65" s="99" t="s">
        <v>142</v>
      </c>
      <c r="B65" s="198" t="s">
        <v>143</v>
      </c>
      <c r="C65" s="150">
        <v>10834.35</v>
      </c>
      <c r="D65" s="150">
        <v>902.86249999999995</v>
      </c>
      <c r="E65" s="199" t="s">
        <v>19</v>
      </c>
      <c r="F65" s="150">
        <v>255</v>
      </c>
      <c r="G65" s="150">
        <v>548.39</v>
      </c>
      <c r="H65" s="150">
        <v>1312.92</v>
      </c>
      <c r="I65" s="150">
        <v>280.79000000000002</v>
      </c>
      <c r="J65" s="150">
        <v>272.12</v>
      </c>
      <c r="K65" s="150">
        <v>1245.23</v>
      </c>
      <c r="L65" s="150">
        <v>266.16000000000003</v>
      </c>
      <c r="M65" s="150">
        <v>335.55</v>
      </c>
      <c r="N65" s="150">
        <v>1279.8599999999999</v>
      </c>
      <c r="O65" s="150">
        <v>283.82</v>
      </c>
      <c r="P65" s="150">
        <v>308.77999999999997</v>
      </c>
      <c r="Q65" s="150">
        <v>1176.9000000000001</v>
      </c>
      <c r="R65" s="150">
        <v>7565.52</v>
      </c>
      <c r="S65" s="103"/>
      <c r="T65" s="150">
        <v>257.05</v>
      </c>
      <c r="U65" s="150">
        <v>255.75</v>
      </c>
      <c r="V65" s="150">
        <v>1228.93</v>
      </c>
      <c r="W65" s="150">
        <v>256.62</v>
      </c>
      <c r="X65" s="150">
        <v>101.65</v>
      </c>
      <c r="Y65" s="150">
        <v>1226.4000000000001</v>
      </c>
      <c r="Z65" s="150">
        <v>3326.4</v>
      </c>
      <c r="AA65" s="104"/>
      <c r="AB65" s="226">
        <f t="shared" si="13"/>
        <v>3914.45</v>
      </c>
      <c r="AC65" s="224">
        <f t="shared" si="14"/>
        <v>-588.04999999999973</v>
      </c>
      <c r="AD65" s="8">
        <f t="shared" si="15"/>
        <v>-0.1502254467421987</v>
      </c>
    </row>
    <row r="66" spans="1:30" x14ac:dyDescent="0.4">
      <c r="A66" s="99" t="s">
        <v>146</v>
      </c>
      <c r="B66" s="198" t="s">
        <v>147</v>
      </c>
      <c r="C66" s="150">
        <v>7925.01</v>
      </c>
      <c r="D66" s="150">
        <v>660.41750000000002</v>
      </c>
      <c r="E66" s="199" t="s">
        <v>19</v>
      </c>
      <c r="F66" s="150">
        <v>1009.89</v>
      </c>
      <c r="G66" s="150">
        <v>624.63</v>
      </c>
      <c r="H66" s="150">
        <v>474.04</v>
      </c>
      <c r="I66" s="150">
        <v>464.55</v>
      </c>
      <c r="J66" s="150">
        <v>428.51</v>
      </c>
      <c r="K66" s="150">
        <v>439.92</v>
      </c>
      <c r="L66" s="150">
        <v>443.07</v>
      </c>
      <c r="M66" s="150">
        <v>313.62</v>
      </c>
      <c r="N66" s="150">
        <v>590.99</v>
      </c>
      <c r="O66" s="150">
        <v>576.26</v>
      </c>
      <c r="P66" s="150">
        <v>868.48</v>
      </c>
      <c r="Q66" s="150">
        <v>670.9</v>
      </c>
      <c r="R66" s="150">
        <v>6904.86</v>
      </c>
      <c r="S66" s="105"/>
      <c r="T66" s="150">
        <v>473.52</v>
      </c>
      <c r="U66" s="150">
        <v>498.73</v>
      </c>
      <c r="V66" s="150">
        <v>309.23</v>
      </c>
      <c r="W66" s="150">
        <v>345.52</v>
      </c>
      <c r="X66" s="150">
        <v>767.67</v>
      </c>
      <c r="Y66" s="150">
        <v>116.51</v>
      </c>
      <c r="Z66" s="150">
        <v>2511.1799999999998</v>
      </c>
      <c r="AA66" s="104"/>
      <c r="AB66" s="226">
        <f t="shared" si="13"/>
        <v>3441.54</v>
      </c>
      <c r="AC66" s="224">
        <f t="shared" si="14"/>
        <v>-930.36000000000013</v>
      </c>
      <c r="AD66" s="8">
        <f t="shared" si="15"/>
        <v>-0.27033246744190104</v>
      </c>
    </row>
    <row r="67" spans="1:30" x14ac:dyDescent="0.4">
      <c r="A67" s="99" t="s">
        <v>148</v>
      </c>
      <c r="B67" s="198" t="s">
        <v>149</v>
      </c>
      <c r="C67" s="150">
        <v>9384.84</v>
      </c>
      <c r="D67" s="150">
        <v>782.07</v>
      </c>
      <c r="E67" s="199" t="s">
        <v>19</v>
      </c>
      <c r="F67" s="150">
        <v>894.09</v>
      </c>
      <c r="G67" s="150">
        <v>753.94</v>
      </c>
      <c r="H67" s="150">
        <v>757.34</v>
      </c>
      <c r="I67" s="150">
        <v>1044.49</v>
      </c>
      <c r="J67" s="150">
        <v>603.62</v>
      </c>
      <c r="K67" s="150">
        <v>755.78</v>
      </c>
      <c r="L67" s="150">
        <v>335.11</v>
      </c>
      <c r="M67" s="150">
        <v>198.26</v>
      </c>
      <c r="N67" s="150">
        <v>194.29</v>
      </c>
      <c r="O67" s="150">
        <v>346.12</v>
      </c>
      <c r="P67" s="150">
        <v>207.62</v>
      </c>
      <c r="Q67" s="150">
        <v>204.41</v>
      </c>
      <c r="R67" s="150">
        <v>6295.07</v>
      </c>
      <c r="S67" s="105"/>
      <c r="T67" s="150">
        <v>207.34</v>
      </c>
      <c r="U67" s="150">
        <v>204.05</v>
      </c>
      <c r="V67" s="150">
        <v>207.9</v>
      </c>
      <c r="W67" s="150">
        <v>209.35</v>
      </c>
      <c r="X67" s="150">
        <v>204.23</v>
      </c>
      <c r="Y67" s="150">
        <v>212.59</v>
      </c>
      <c r="Z67" s="150">
        <v>1245.46</v>
      </c>
      <c r="AA67" s="104"/>
      <c r="AB67" s="226">
        <f t="shared" si="13"/>
        <v>4809.26</v>
      </c>
      <c r="AC67" s="224">
        <f t="shared" si="14"/>
        <v>-3563.8</v>
      </c>
      <c r="AD67" s="8">
        <f t="shared" si="15"/>
        <v>-0.7410287653401979</v>
      </c>
    </row>
    <row r="68" spans="1:30" x14ac:dyDescent="0.4">
      <c r="A68" s="99"/>
      <c r="B68" s="198" t="s">
        <v>151</v>
      </c>
      <c r="C68" s="149"/>
      <c r="D68" s="150"/>
      <c r="E68" s="199" t="s">
        <v>19</v>
      </c>
      <c r="F68" s="149"/>
      <c r="G68" s="149"/>
      <c r="H68" s="149"/>
      <c r="I68" s="149"/>
      <c r="J68" s="149"/>
      <c r="K68" s="149"/>
      <c r="L68" s="149"/>
      <c r="M68" s="149"/>
      <c r="N68" s="149"/>
      <c r="O68" s="149"/>
      <c r="P68" s="150">
        <v>299</v>
      </c>
      <c r="Q68" s="149"/>
      <c r="R68" s="150">
        <v>299</v>
      </c>
      <c r="S68" s="103"/>
      <c r="T68" s="149"/>
      <c r="U68" s="149"/>
      <c r="V68" s="149"/>
      <c r="W68" s="150">
        <v>2974.22</v>
      </c>
      <c r="X68" s="149"/>
      <c r="Y68" s="149"/>
      <c r="Z68" s="150">
        <v>2974.22</v>
      </c>
      <c r="AA68" s="104"/>
      <c r="AB68" s="226">
        <f t="shared" si="13"/>
        <v>0</v>
      </c>
      <c r="AC68" s="224">
        <f t="shared" si="14"/>
        <v>2974.22</v>
      </c>
      <c r="AD68" s="8" t="e">
        <f t="shared" si="15"/>
        <v>#DIV/0!</v>
      </c>
    </row>
    <row r="69" spans="1:30" x14ac:dyDescent="0.4">
      <c r="A69" s="99" t="s">
        <v>152</v>
      </c>
      <c r="B69" s="198" t="s">
        <v>153</v>
      </c>
      <c r="C69" s="151">
        <v>5878.87</v>
      </c>
      <c r="D69" s="151">
        <v>489.90583333333331</v>
      </c>
      <c r="E69" s="199" t="s">
        <v>19</v>
      </c>
      <c r="F69" s="151">
        <v>305.17</v>
      </c>
      <c r="G69" s="151">
        <v>35.17</v>
      </c>
      <c r="H69" s="151">
        <v>246</v>
      </c>
      <c r="I69" s="151">
        <v>2500</v>
      </c>
      <c r="J69" s="151">
        <v>35.17</v>
      </c>
      <c r="K69" s="151">
        <v>35.17</v>
      </c>
      <c r="L69" s="151">
        <v>35.17</v>
      </c>
      <c r="M69" s="151">
        <v>35.17</v>
      </c>
      <c r="N69" s="151">
        <v>35.17</v>
      </c>
      <c r="O69" s="151">
        <v>35.17</v>
      </c>
      <c r="P69" s="151">
        <v>35.17</v>
      </c>
      <c r="Q69" s="151">
        <v>35.17</v>
      </c>
      <c r="R69" s="151">
        <v>3367.7</v>
      </c>
      <c r="S69" s="103"/>
      <c r="T69" s="151">
        <v>35.17</v>
      </c>
      <c r="U69" s="151">
        <v>35.17</v>
      </c>
      <c r="V69" s="151">
        <v>35.17</v>
      </c>
      <c r="W69" s="151">
        <v>35.17</v>
      </c>
      <c r="X69" s="151">
        <v>2535.17</v>
      </c>
      <c r="Y69" s="151">
        <v>35.17</v>
      </c>
      <c r="Z69" s="151">
        <v>2711.02</v>
      </c>
      <c r="AA69" s="104"/>
      <c r="AB69" s="212">
        <f t="shared" si="13"/>
        <v>3156.6800000000003</v>
      </c>
      <c r="AC69" s="11">
        <f t="shared" si="14"/>
        <v>-445.66000000000031</v>
      </c>
      <c r="AD69" s="12">
        <f t="shared" si="15"/>
        <v>-0.14117997389662565</v>
      </c>
    </row>
    <row r="70" spans="1:30" x14ac:dyDescent="0.4">
      <c r="A70" s="99"/>
      <c r="B70" s="198" t="s">
        <v>154</v>
      </c>
      <c r="C70" s="151">
        <v>231826.47</v>
      </c>
      <c r="D70" s="151">
        <v>19318.872500000001</v>
      </c>
      <c r="E70" s="199" t="s">
        <v>19</v>
      </c>
      <c r="F70" s="151">
        <v>14284.68</v>
      </c>
      <c r="G70" s="151">
        <v>18943.66</v>
      </c>
      <c r="H70" s="151">
        <v>15829.53</v>
      </c>
      <c r="I70" s="151">
        <v>17734.8</v>
      </c>
      <c r="J70" s="151">
        <v>11574.07</v>
      </c>
      <c r="K70" s="151">
        <v>12504.3</v>
      </c>
      <c r="L70" s="151">
        <v>9504.01</v>
      </c>
      <c r="M70" s="151">
        <v>16056.92</v>
      </c>
      <c r="N70" s="151">
        <v>9750.07</v>
      </c>
      <c r="O70" s="151">
        <v>6669.25</v>
      </c>
      <c r="P70" s="151">
        <v>8079.77</v>
      </c>
      <c r="Q70" s="151">
        <v>8781.39</v>
      </c>
      <c r="R70" s="151">
        <v>149712.45000000001</v>
      </c>
      <c r="S70" s="105"/>
      <c r="T70" s="151">
        <v>9414.34</v>
      </c>
      <c r="U70" s="151">
        <v>7840.18</v>
      </c>
      <c r="V70" s="151">
        <v>7946.6</v>
      </c>
      <c r="W70" s="151">
        <v>15020.61</v>
      </c>
      <c r="X70" s="151">
        <v>14585.68</v>
      </c>
      <c r="Y70" s="151">
        <v>8119.69</v>
      </c>
      <c r="Z70" s="151">
        <v>62927.1</v>
      </c>
      <c r="AA70" s="104"/>
      <c r="AB70" s="151">
        <f>SUM(AB55:AB69)</f>
        <v>90871.039999999979</v>
      </c>
      <c r="AC70" s="151">
        <f>SUM(AC55:AC69)</f>
        <v>-27943.939999999991</v>
      </c>
      <c r="AD70" s="12">
        <f t="shared" ref="AD70:AD106" si="16">+AC70/AB70</f>
        <v>-0.3075120522445875</v>
      </c>
    </row>
    <row r="71" spans="1:30" x14ac:dyDescent="0.4">
      <c r="A71" s="99"/>
      <c r="B71" s="198"/>
      <c r="C71" s="149"/>
      <c r="D71" s="149"/>
      <c r="E71" s="199" t="s">
        <v>19</v>
      </c>
      <c r="F71" s="149"/>
      <c r="G71" s="149"/>
      <c r="H71" s="149"/>
      <c r="I71" s="149"/>
      <c r="J71" s="149"/>
      <c r="K71" s="149"/>
      <c r="L71" s="149"/>
      <c r="M71" s="149"/>
      <c r="N71" s="149"/>
      <c r="O71" s="149"/>
      <c r="P71" s="149"/>
      <c r="Q71" s="149"/>
      <c r="R71" s="149"/>
      <c r="S71" s="105"/>
      <c r="T71" s="149"/>
      <c r="U71" s="149"/>
      <c r="V71" s="149"/>
      <c r="W71" s="149"/>
      <c r="X71" s="149"/>
      <c r="Y71" s="149"/>
      <c r="Z71" s="149"/>
      <c r="AA71" s="104"/>
      <c r="AB71" s="149"/>
      <c r="AC71" s="4"/>
      <c r="AD71" s="5"/>
    </row>
    <row r="72" spans="1:30" x14ac:dyDescent="0.4">
      <c r="A72" s="99"/>
      <c r="B72" s="198" t="s">
        <v>59</v>
      </c>
      <c r="C72" s="149"/>
      <c r="D72" s="149"/>
      <c r="E72" s="199" t="s">
        <v>19</v>
      </c>
      <c r="F72" s="149"/>
      <c r="G72" s="149"/>
      <c r="H72" s="149"/>
      <c r="I72" s="149"/>
      <c r="J72" s="149"/>
      <c r="K72" s="149"/>
      <c r="L72" s="149"/>
      <c r="M72" s="149"/>
      <c r="N72" s="149"/>
      <c r="O72" s="149"/>
      <c r="P72" s="149"/>
      <c r="Q72" s="149"/>
      <c r="R72" s="149"/>
      <c r="S72" s="103"/>
      <c r="T72" s="149"/>
      <c r="U72" s="149"/>
      <c r="V72" s="149"/>
      <c r="W72" s="149"/>
      <c r="X72" s="149"/>
      <c r="Y72" s="149"/>
      <c r="Z72" s="149"/>
      <c r="AA72" s="105"/>
      <c r="AB72" s="149"/>
      <c r="AC72" s="4"/>
      <c r="AD72" s="5"/>
    </row>
    <row r="73" spans="1:30" x14ac:dyDescent="0.4">
      <c r="A73" s="99" t="s">
        <v>157</v>
      </c>
      <c r="B73" s="198" t="s">
        <v>158</v>
      </c>
      <c r="C73" s="150">
        <v>9175.07</v>
      </c>
      <c r="D73" s="150">
        <v>764.58916666666676</v>
      </c>
      <c r="E73" s="199" t="s">
        <v>19</v>
      </c>
      <c r="F73" s="150">
        <v>127.23</v>
      </c>
      <c r="G73" s="150">
        <v>127.23</v>
      </c>
      <c r="H73" s="150">
        <v>2182.23</v>
      </c>
      <c r="I73" s="150">
        <v>1127.23</v>
      </c>
      <c r="J73" s="150">
        <v>127.23</v>
      </c>
      <c r="K73" s="150">
        <v>2277.23</v>
      </c>
      <c r="L73" s="150">
        <v>127.23</v>
      </c>
      <c r="M73" s="150">
        <v>127.23</v>
      </c>
      <c r="N73" s="150">
        <v>5014.7299999999996</v>
      </c>
      <c r="O73" s="150">
        <v>127.23</v>
      </c>
      <c r="P73" s="150">
        <v>127.23</v>
      </c>
      <c r="Q73" s="150">
        <v>2277.23</v>
      </c>
      <c r="R73" s="150">
        <v>13769.26</v>
      </c>
      <c r="S73" s="105"/>
      <c r="T73" s="150">
        <v>4002.23</v>
      </c>
      <c r="U73" s="150">
        <v>127.23</v>
      </c>
      <c r="V73" s="150">
        <v>2277.23</v>
      </c>
      <c r="W73" s="150">
        <v>127.23</v>
      </c>
      <c r="X73" s="150">
        <v>127.23</v>
      </c>
      <c r="Y73" s="150">
        <v>2166.23</v>
      </c>
      <c r="Z73" s="150">
        <v>8827.3799999999992</v>
      </c>
      <c r="AA73" s="105"/>
      <c r="AB73" s="226">
        <f>SUM(F73:K73)</f>
        <v>5968.38</v>
      </c>
      <c r="AC73" s="224">
        <f>+Z73-AB73</f>
        <v>2858.9999999999991</v>
      </c>
      <c r="AD73" s="8">
        <f t="shared" si="16"/>
        <v>0.4790244588983944</v>
      </c>
    </row>
    <row r="74" spans="1:30" x14ac:dyDescent="0.4">
      <c r="A74" s="99" t="s">
        <v>165</v>
      </c>
      <c r="B74" s="198" t="s">
        <v>166</v>
      </c>
      <c r="C74" s="150">
        <v>13812.52</v>
      </c>
      <c r="D74" s="150">
        <v>1151.0433333333333</v>
      </c>
      <c r="E74" s="199" t="s">
        <v>19</v>
      </c>
      <c r="F74" s="150">
        <v>532.41</v>
      </c>
      <c r="G74" s="150">
        <v>4101.2700000000004</v>
      </c>
      <c r="H74" s="149"/>
      <c r="I74" s="150">
        <v>-139.99</v>
      </c>
      <c r="J74" s="150">
        <v>39.99</v>
      </c>
      <c r="K74" s="150">
        <v>238.04</v>
      </c>
      <c r="L74" s="149"/>
      <c r="M74" s="149"/>
      <c r="N74" s="149"/>
      <c r="O74" s="149"/>
      <c r="P74" s="149"/>
      <c r="Q74" s="149"/>
      <c r="R74" s="150">
        <v>4771.72</v>
      </c>
      <c r="S74" s="105"/>
      <c r="T74" s="150">
        <v>-109.96</v>
      </c>
      <c r="U74" s="149"/>
      <c r="V74" s="149"/>
      <c r="W74" s="149"/>
      <c r="X74" s="150">
        <v>662.73</v>
      </c>
      <c r="Y74" s="150">
        <v>6814.75</v>
      </c>
      <c r="Z74" s="150">
        <v>7367.52</v>
      </c>
      <c r="AA74" s="101"/>
      <c r="AB74" s="226">
        <f>SUM(F74:K74)</f>
        <v>4771.72</v>
      </c>
      <c r="AC74" s="224">
        <f t="shared" ref="AC74:AC77" si="17">+Z74-AB74</f>
        <v>2595.8000000000002</v>
      </c>
      <c r="AD74" s="8">
        <f t="shared" ref="AD74:AD77" si="18">+AC74/AB74</f>
        <v>0.54399671397315852</v>
      </c>
    </row>
    <row r="75" spans="1:30" x14ac:dyDescent="0.4">
      <c r="A75" s="99" t="s">
        <v>167</v>
      </c>
      <c r="B75" s="198" t="s">
        <v>168</v>
      </c>
      <c r="C75" s="149"/>
      <c r="D75" s="150"/>
      <c r="E75" s="199" t="s">
        <v>19</v>
      </c>
      <c r="F75" s="150">
        <v>39.99</v>
      </c>
      <c r="G75" s="149"/>
      <c r="H75" s="149"/>
      <c r="I75" s="149"/>
      <c r="J75" s="149"/>
      <c r="K75" s="149"/>
      <c r="L75" s="149"/>
      <c r="M75" s="149"/>
      <c r="N75" s="149"/>
      <c r="O75" s="149"/>
      <c r="P75" s="149"/>
      <c r="Q75" s="149"/>
      <c r="R75" s="150">
        <v>39.99</v>
      </c>
      <c r="S75" s="105"/>
      <c r="T75" s="150">
        <v>39.99</v>
      </c>
      <c r="U75" s="149"/>
      <c r="V75" s="149"/>
      <c r="W75" s="149"/>
      <c r="X75" s="149"/>
      <c r="Y75" s="149"/>
      <c r="Z75" s="150">
        <v>39.99</v>
      </c>
      <c r="AA75" s="101"/>
      <c r="AB75" s="226">
        <f>SUM(F75:K75)</f>
        <v>39.99</v>
      </c>
      <c r="AC75" s="224">
        <f t="shared" si="17"/>
        <v>0</v>
      </c>
      <c r="AD75" s="8">
        <f t="shared" si="18"/>
        <v>0</v>
      </c>
    </row>
    <row r="76" spans="1:30" x14ac:dyDescent="0.4">
      <c r="A76" s="99" t="s">
        <v>171</v>
      </c>
      <c r="B76" s="198" t="s">
        <v>172</v>
      </c>
      <c r="C76" s="150">
        <v>67680.639999999999</v>
      </c>
      <c r="D76" s="150">
        <v>5640.0533333333333</v>
      </c>
      <c r="E76" s="199" t="s">
        <v>19</v>
      </c>
      <c r="F76" s="150">
        <v>6166.52</v>
      </c>
      <c r="G76" s="150">
        <v>6166.52</v>
      </c>
      <c r="H76" s="150">
        <v>6166.52</v>
      </c>
      <c r="I76" s="150">
        <v>6166.52</v>
      </c>
      <c r="J76" s="150">
        <v>6437.17</v>
      </c>
      <c r="K76" s="150">
        <v>6437.17</v>
      </c>
      <c r="L76" s="150">
        <v>6437.17</v>
      </c>
      <c r="M76" s="150">
        <v>6437.17</v>
      </c>
      <c r="N76" s="150">
        <v>6437.17</v>
      </c>
      <c r="O76" s="150">
        <v>6437.17</v>
      </c>
      <c r="P76" s="150">
        <v>6482.45</v>
      </c>
      <c r="Q76" s="150">
        <v>6459.78</v>
      </c>
      <c r="R76" s="150">
        <v>76231.33</v>
      </c>
      <c r="S76" s="103"/>
      <c r="T76" s="150">
        <v>6459.78</v>
      </c>
      <c r="U76" s="150">
        <v>6459.78</v>
      </c>
      <c r="V76" s="150">
        <v>6459.78</v>
      </c>
      <c r="W76" s="150">
        <v>6459.78</v>
      </c>
      <c r="X76" s="150">
        <v>6743.96</v>
      </c>
      <c r="Y76" s="150">
        <v>6783.96</v>
      </c>
      <c r="Z76" s="150">
        <v>39367.040000000001</v>
      </c>
      <c r="AA76" s="104"/>
      <c r="AB76" s="226">
        <f>SUM(F76:K76)</f>
        <v>37540.42</v>
      </c>
      <c r="AC76" s="224">
        <f t="shared" si="17"/>
        <v>1826.6200000000026</v>
      </c>
      <c r="AD76" s="8">
        <f t="shared" si="18"/>
        <v>4.865742045507223E-2</v>
      </c>
    </row>
    <row r="77" spans="1:30" x14ac:dyDescent="0.4">
      <c r="A77" s="99" t="s">
        <v>173</v>
      </c>
      <c r="B77" s="198" t="s">
        <v>174</v>
      </c>
      <c r="C77" s="151">
        <v>400</v>
      </c>
      <c r="D77" s="151">
        <v>33.3333333333333</v>
      </c>
      <c r="E77" s="199" t="s">
        <v>19</v>
      </c>
      <c r="F77" s="151">
        <v>40</v>
      </c>
      <c r="G77" s="151">
        <v>40</v>
      </c>
      <c r="H77" s="151">
        <v>40</v>
      </c>
      <c r="I77" s="151">
        <v>40</v>
      </c>
      <c r="J77" s="151">
        <v>40</v>
      </c>
      <c r="K77" s="151">
        <v>40</v>
      </c>
      <c r="L77" s="151">
        <v>40</v>
      </c>
      <c r="M77" s="151">
        <v>40</v>
      </c>
      <c r="N77" s="151">
        <v>40</v>
      </c>
      <c r="O77" s="151">
        <v>40</v>
      </c>
      <c r="P77" s="152"/>
      <c r="Q77" s="151">
        <v>40</v>
      </c>
      <c r="R77" s="151">
        <v>440</v>
      </c>
      <c r="S77" s="103"/>
      <c r="T77" s="151">
        <v>40</v>
      </c>
      <c r="U77" s="151">
        <v>40</v>
      </c>
      <c r="V77" s="151">
        <v>40</v>
      </c>
      <c r="W77" s="151">
        <v>40</v>
      </c>
      <c r="X77" s="151">
        <v>40</v>
      </c>
      <c r="Y77" s="152"/>
      <c r="Z77" s="151">
        <v>200</v>
      </c>
      <c r="AA77" s="104"/>
      <c r="AB77" s="212">
        <f>SUM(F77:K77)</f>
        <v>240</v>
      </c>
      <c r="AC77" s="11">
        <f t="shared" si="17"/>
        <v>-40</v>
      </c>
      <c r="AD77" s="12">
        <f t="shared" si="18"/>
        <v>-0.16666666666666666</v>
      </c>
    </row>
    <row r="78" spans="1:30" x14ac:dyDescent="0.4">
      <c r="A78" s="99"/>
      <c r="B78" s="198" t="s">
        <v>175</v>
      </c>
      <c r="C78" s="151">
        <v>91068.23</v>
      </c>
      <c r="D78" s="151">
        <v>7589.0191666666669</v>
      </c>
      <c r="E78" s="199" t="s">
        <v>19</v>
      </c>
      <c r="F78" s="151">
        <v>6906.15</v>
      </c>
      <c r="G78" s="151">
        <v>10435.02</v>
      </c>
      <c r="H78" s="151">
        <v>8388.75</v>
      </c>
      <c r="I78" s="151">
        <v>7193.76</v>
      </c>
      <c r="J78" s="151">
        <v>6644.39</v>
      </c>
      <c r="K78" s="151">
        <v>8992.44</v>
      </c>
      <c r="L78" s="151">
        <v>6604.4</v>
      </c>
      <c r="M78" s="151">
        <v>6604.4</v>
      </c>
      <c r="N78" s="151">
        <v>11491.9</v>
      </c>
      <c r="O78" s="151">
        <v>6604.4</v>
      </c>
      <c r="P78" s="151">
        <v>6609.68</v>
      </c>
      <c r="Q78" s="151">
        <v>8777.01</v>
      </c>
      <c r="R78" s="151">
        <v>95252.3</v>
      </c>
      <c r="S78" s="105"/>
      <c r="T78" s="151">
        <v>10432.040000000001</v>
      </c>
      <c r="U78" s="151">
        <v>6627.01</v>
      </c>
      <c r="V78" s="151">
        <v>8777.01</v>
      </c>
      <c r="W78" s="151">
        <v>6627.01</v>
      </c>
      <c r="X78" s="151">
        <v>7573.92</v>
      </c>
      <c r="Y78" s="151">
        <v>15764.94</v>
      </c>
      <c r="Z78" s="151">
        <v>55801.93</v>
      </c>
      <c r="AA78" s="104"/>
      <c r="AB78" s="151">
        <f>SUM(AB73:AB77)</f>
        <v>48560.509999999995</v>
      </c>
      <c r="AC78" s="151">
        <f>SUM(AC73:AC77)</f>
        <v>7241.4200000000019</v>
      </c>
      <c r="AD78" s="12">
        <f t="shared" si="16"/>
        <v>0.14912158047763507</v>
      </c>
    </row>
    <row r="79" spans="1:30" x14ac:dyDescent="0.4">
      <c r="A79" s="99"/>
      <c r="B79" s="198"/>
      <c r="C79" s="149"/>
      <c r="D79" s="149"/>
      <c r="E79" s="199" t="s">
        <v>19</v>
      </c>
      <c r="F79" s="149"/>
      <c r="G79" s="149"/>
      <c r="H79" s="149"/>
      <c r="I79" s="149"/>
      <c r="J79" s="149"/>
      <c r="K79" s="149"/>
      <c r="L79" s="149"/>
      <c r="M79" s="149"/>
      <c r="N79" s="149"/>
      <c r="O79" s="149"/>
      <c r="P79" s="149"/>
      <c r="Q79" s="149"/>
      <c r="R79" s="149"/>
      <c r="S79" s="105"/>
      <c r="T79" s="149"/>
      <c r="U79" s="149"/>
      <c r="V79" s="149"/>
      <c r="W79" s="149"/>
      <c r="X79" s="149"/>
      <c r="Y79" s="149"/>
      <c r="Z79" s="149"/>
      <c r="AA79" s="104"/>
      <c r="AB79" s="149"/>
      <c r="AC79" s="4"/>
      <c r="AD79" s="5"/>
    </row>
    <row r="80" spans="1:30" x14ac:dyDescent="0.4">
      <c r="A80" s="99"/>
      <c r="B80" s="198" t="s">
        <v>60</v>
      </c>
      <c r="C80" s="149"/>
      <c r="D80" s="149"/>
      <c r="E80" s="199" t="s">
        <v>19</v>
      </c>
      <c r="F80" s="149"/>
      <c r="G80" s="149"/>
      <c r="H80" s="149"/>
      <c r="I80" s="149"/>
      <c r="J80" s="149"/>
      <c r="K80" s="149"/>
      <c r="L80" s="149"/>
      <c r="M80" s="149"/>
      <c r="N80" s="149"/>
      <c r="O80" s="149"/>
      <c r="P80" s="149"/>
      <c r="Q80" s="149"/>
      <c r="R80" s="149"/>
      <c r="S80" s="105"/>
      <c r="T80" s="149"/>
      <c r="U80" s="149"/>
      <c r="V80" s="149"/>
      <c r="W80" s="149"/>
      <c r="X80" s="149"/>
      <c r="Y80" s="149"/>
      <c r="Z80" s="149"/>
      <c r="AA80" s="105"/>
      <c r="AB80" s="149"/>
      <c r="AC80" s="4"/>
      <c r="AD80" s="5"/>
    </row>
    <row r="81" spans="1:30" x14ac:dyDescent="0.4">
      <c r="A81" s="99" t="s">
        <v>176</v>
      </c>
      <c r="B81" s="198" t="s">
        <v>177</v>
      </c>
      <c r="C81" s="150">
        <v>16749.12</v>
      </c>
      <c r="D81" s="150">
        <v>1395.76</v>
      </c>
      <c r="E81" s="199" t="s">
        <v>19</v>
      </c>
      <c r="F81" s="150">
        <v>569.92999999999995</v>
      </c>
      <c r="G81" s="150">
        <v>3468.49</v>
      </c>
      <c r="H81" s="150">
        <v>625.92999999999995</v>
      </c>
      <c r="I81" s="150">
        <v>840.36</v>
      </c>
      <c r="J81" s="150">
        <v>1488.65</v>
      </c>
      <c r="K81" s="150">
        <v>2138.98</v>
      </c>
      <c r="L81" s="150">
        <v>668.61</v>
      </c>
      <c r="M81" s="150">
        <v>830.83</v>
      </c>
      <c r="N81" s="150">
        <v>1157.81</v>
      </c>
      <c r="O81" s="150">
        <v>1613.41</v>
      </c>
      <c r="P81" s="150">
        <v>847.59</v>
      </c>
      <c r="Q81" s="150">
        <v>2309.9499999999998</v>
      </c>
      <c r="R81" s="150">
        <v>16560.54</v>
      </c>
      <c r="S81" s="105"/>
      <c r="T81" s="150">
        <v>761.66</v>
      </c>
      <c r="U81" s="150">
        <v>1427.44</v>
      </c>
      <c r="V81" s="150">
        <v>916.52</v>
      </c>
      <c r="W81" s="150">
        <v>1216.03</v>
      </c>
      <c r="X81" s="150">
        <v>731.3</v>
      </c>
      <c r="Y81" s="150">
        <v>1061.5</v>
      </c>
      <c r="Z81" s="150">
        <v>6114.45</v>
      </c>
      <c r="AA81" s="105"/>
      <c r="AB81" s="226">
        <f t="shared" ref="AB81:AB89" si="19">SUM(F81:K81)</f>
        <v>9132.3399999999983</v>
      </c>
      <c r="AC81" s="224">
        <f>+Z81-AB81</f>
        <v>-3017.8899999999985</v>
      </c>
      <c r="AD81" s="8">
        <f t="shared" si="16"/>
        <v>-0.33046185315045201</v>
      </c>
    </row>
    <row r="82" spans="1:30" x14ac:dyDescent="0.4">
      <c r="A82" s="99" t="s">
        <v>178</v>
      </c>
      <c r="B82" s="198" t="s">
        <v>179</v>
      </c>
      <c r="C82" s="150">
        <v>10015</v>
      </c>
      <c r="D82" s="150">
        <v>834.58333333333326</v>
      </c>
      <c r="E82" s="199" t="s">
        <v>19</v>
      </c>
      <c r="F82" s="149"/>
      <c r="G82" s="149"/>
      <c r="H82" s="149"/>
      <c r="I82" s="149"/>
      <c r="J82" s="149"/>
      <c r="K82" s="149"/>
      <c r="L82" s="149"/>
      <c r="M82" s="149"/>
      <c r="N82" s="149"/>
      <c r="O82" s="149"/>
      <c r="P82" s="149"/>
      <c r="Q82" s="149"/>
      <c r="R82" s="149"/>
      <c r="S82" s="105"/>
      <c r="T82" s="149"/>
      <c r="U82" s="149"/>
      <c r="V82" s="149"/>
      <c r="W82" s="149"/>
      <c r="X82" s="149"/>
      <c r="Y82" s="149"/>
      <c r="Z82" s="149"/>
      <c r="AA82" s="101"/>
      <c r="AB82" s="226">
        <f t="shared" si="19"/>
        <v>0</v>
      </c>
      <c r="AC82" s="224">
        <f t="shared" ref="AC82:AC89" si="20">+Z82-AB82</f>
        <v>0</v>
      </c>
      <c r="AD82" s="8" t="e">
        <f t="shared" ref="AD82:AD89" si="21">+AC82/AB82</f>
        <v>#DIV/0!</v>
      </c>
    </row>
    <row r="83" spans="1:30" x14ac:dyDescent="0.4">
      <c r="A83" s="99" t="s">
        <v>180</v>
      </c>
      <c r="B83" s="198" t="s">
        <v>181</v>
      </c>
      <c r="C83" s="150">
        <v>10990.71</v>
      </c>
      <c r="D83" s="150">
        <v>915.89250000000004</v>
      </c>
      <c r="E83" s="199" t="s">
        <v>19</v>
      </c>
      <c r="F83" s="149"/>
      <c r="G83" s="149"/>
      <c r="H83" s="149"/>
      <c r="I83" s="149"/>
      <c r="J83" s="149"/>
      <c r="K83" s="149"/>
      <c r="L83" s="149"/>
      <c r="M83" s="149"/>
      <c r="N83" s="149"/>
      <c r="O83" s="149"/>
      <c r="P83" s="149"/>
      <c r="Q83" s="149"/>
      <c r="R83" s="149"/>
      <c r="S83" s="105"/>
      <c r="T83" s="149"/>
      <c r="U83" s="149"/>
      <c r="V83" s="149"/>
      <c r="W83" s="149"/>
      <c r="X83" s="149"/>
      <c r="Y83" s="149"/>
      <c r="Z83" s="149"/>
      <c r="AA83" s="101"/>
      <c r="AB83" s="226">
        <f t="shared" si="19"/>
        <v>0</v>
      </c>
      <c r="AC83" s="224">
        <f t="shared" si="20"/>
        <v>0</v>
      </c>
      <c r="AD83" s="8" t="e">
        <f t="shared" si="21"/>
        <v>#DIV/0!</v>
      </c>
    </row>
    <row r="84" spans="1:30" x14ac:dyDescent="0.4">
      <c r="A84" s="99" t="s">
        <v>184</v>
      </c>
      <c r="B84" s="198" t="s">
        <v>185</v>
      </c>
      <c r="C84" s="150">
        <v>33841.64</v>
      </c>
      <c r="D84" s="150">
        <v>2820.1366666666668</v>
      </c>
      <c r="E84" s="199" t="s">
        <v>19</v>
      </c>
      <c r="F84" s="150">
        <v>539.25</v>
      </c>
      <c r="G84" s="150">
        <v>842.88</v>
      </c>
      <c r="H84" s="150">
        <v>1095.94</v>
      </c>
      <c r="I84" s="150">
        <v>2109.7800000000002</v>
      </c>
      <c r="J84" s="150">
        <v>1998.87</v>
      </c>
      <c r="K84" s="150">
        <v>2314.7600000000002</v>
      </c>
      <c r="L84" s="150">
        <v>1137.3699999999999</v>
      </c>
      <c r="M84" s="150">
        <v>929.46</v>
      </c>
      <c r="N84" s="150">
        <v>2612.48</v>
      </c>
      <c r="O84" s="150">
        <v>1117.3800000000001</v>
      </c>
      <c r="P84" s="150">
        <v>1099.32</v>
      </c>
      <c r="Q84" s="150">
        <v>904</v>
      </c>
      <c r="R84" s="150">
        <v>16701.490000000002</v>
      </c>
      <c r="S84" s="105"/>
      <c r="T84" s="150">
        <v>1388.7</v>
      </c>
      <c r="U84" s="150">
        <v>1723.93</v>
      </c>
      <c r="V84" s="150">
        <v>1487.06</v>
      </c>
      <c r="W84" s="150">
        <v>1235.22</v>
      </c>
      <c r="X84" s="150">
        <v>3556.3</v>
      </c>
      <c r="Y84" s="150">
        <v>601</v>
      </c>
      <c r="Z84" s="150">
        <v>9992.2099999999991</v>
      </c>
      <c r="AA84" s="104"/>
      <c r="AB84" s="226">
        <f t="shared" si="19"/>
        <v>8901.48</v>
      </c>
      <c r="AC84" s="224">
        <f t="shared" si="20"/>
        <v>1090.7299999999996</v>
      </c>
      <c r="AD84" s="8">
        <f t="shared" si="21"/>
        <v>0.1225335562176177</v>
      </c>
    </row>
    <row r="85" spans="1:30" x14ac:dyDescent="0.4">
      <c r="A85" s="99" t="s">
        <v>186</v>
      </c>
      <c r="B85" s="198" t="s">
        <v>187</v>
      </c>
      <c r="C85" s="150">
        <v>10291.61</v>
      </c>
      <c r="D85" s="150">
        <v>857.63416666666672</v>
      </c>
      <c r="E85" s="199" t="s">
        <v>19</v>
      </c>
      <c r="F85" s="150">
        <v>1876.51</v>
      </c>
      <c r="G85" s="149"/>
      <c r="H85" s="149"/>
      <c r="I85" s="149"/>
      <c r="J85" s="149"/>
      <c r="K85" s="149"/>
      <c r="L85" s="149"/>
      <c r="M85" s="149"/>
      <c r="N85" s="149"/>
      <c r="O85" s="149"/>
      <c r="P85" s="150">
        <v>46.32</v>
      </c>
      <c r="Q85" s="150">
        <v>250.97</v>
      </c>
      <c r="R85" s="150">
        <v>2173.8000000000002</v>
      </c>
      <c r="S85" s="105"/>
      <c r="T85" s="149"/>
      <c r="U85" s="149"/>
      <c r="V85" s="150">
        <v>123.53</v>
      </c>
      <c r="W85" s="149"/>
      <c r="X85" s="150">
        <v>68.989999999999995</v>
      </c>
      <c r="Y85" s="150">
        <v>48</v>
      </c>
      <c r="Z85" s="150">
        <v>240.52</v>
      </c>
      <c r="AA85" s="101"/>
      <c r="AB85" s="226">
        <f t="shared" si="19"/>
        <v>1876.51</v>
      </c>
      <c r="AC85" s="224">
        <f t="shared" si="20"/>
        <v>-1635.99</v>
      </c>
      <c r="AD85" s="8">
        <f t="shared" si="21"/>
        <v>-0.87182588955028217</v>
      </c>
    </row>
    <row r="86" spans="1:30" x14ac:dyDescent="0.4">
      <c r="A86" s="99" t="s">
        <v>188</v>
      </c>
      <c r="B86" s="198" t="s">
        <v>189</v>
      </c>
      <c r="C86" s="150">
        <v>13299.89</v>
      </c>
      <c r="D86" s="150">
        <v>1108.3241666666668</v>
      </c>
      <c r="E86" s="199" t="s">
        <v>19</v>
      </c>
      <c r="F86" s="150">
        <v>1223.47</v>
      </c>
      <c r="G86" s="150">
        <v>1234.1199999999999</v>
      </c>
      <c r="H86" s="150">
        <v>1234.1199999999999</v>
      </c>
      <c r="I86" s="150">
        <v>3625.87</v>
      </c>
      <c r="J86" s="150">
        <v>1125.8699999999999</v>
      </c>
      <c r="K86" s="150">
        <v>1234.1099999999999</v>
      </c>
      <c r="L86" s="150">
        <v>1234.1199999999999</v>
      </c>
      <c r="M86" s="150">
        <v>197.2</v>
      </c>
      <c r="N86" s="150">
        <v>3429.25</v>
      </c>
      <c r="O86" s="150">
        <v>197.2</v>
      </c>
      <c r="P86" s="150">
        <v>455.53</v>
      </c>
      <c r="Q86" s="150">
        <v>90.6</v>
      </c>
      <c r="R86" s="150">
        <v>15281.46</v>
      </c>
      <c r="S86" s="105"/>
      <c r="T86" s="150">
        <v>197.2</v>
      </c>
      <c r="U86" s="150">
        <v>90.6</v>
      </c>
      <c r="V86" s="150">
        <v>2481.8000000000002</v>
      </c>
      <c r="W86" s="150">
        <v>2593.8000000000002</v>
      </c>
      <c r="X86" s="150">
        <v>200.4</v>
      </c>
      <c r="Y86" s="150">
        <v>2588.4</v>
      </c>
      <c r="Z86" s="150">
        <v>8152.2</v>
      </c>
      <c r="AA86" s="101"/>
      <c r="AB86" s="226">
        <f t="shared" si="19"/>
        <v>9677.5600000000013</v>
      </c>
      <c r="AC86" s="224">
        <f t="shared" si="20"/>
        <v>-1525.3600000000015</v>
      </c>
      <c r="AD86" s="8">
        <f t="shared" si="21"/>
        <v>-0.15761824261487414</v>
      </c>
    </row>
    <row r="87" spans="1:30" x14ac:dyDescent="0.4">
      <c r="A87" s="99" t="s">
        <v>190</v>
      </c>
      <c r="B87" s="198" t="s">
        <v>191</v>
      </c>
      <c r="C87" s="150">
        <v>624.75</v>
      </c>
      <c r="D87" s="150">
        <v>52.0625</v>
      </c>
      <c r="E87" s="199" t="s">
        <v>19</v>
      </c>
      <c r="F87" s="149"/>
      <c r="G87" s="149"/>
      <c r="H87" s="149"/>
      <c r="I87" s="149"/>
      <c r="J87" s="149"/>
      <c r="K87" s="149"/>
      <c r="L87" s="149"/>
      <c r="M87" s="149"/>
      <c r="N87" s="149"/>
      <c r="O87" s="149"/>
      <c r="P87" s="149"/>
      <c r="Q87" s="149"/>
      <c r="R87" s="149"/>
      <c r="S87" s="105"/>
      <c r="T87" s="149"/>
      <c r="U87" s="149"/>
      <c r="V87" s="149"/>
      <c r="W87" s="149"/>
      <c r="X87" s="149"/>
      <c r="Y87" s="149"/>
      <c r="Z87" s="149"/>
      <c r="AA87" s="104"/>
      <c r="AB87" s="226">
        <f t="shared" si="19"/>
        <v>0</v>
      </c>
      <c r="AC87" s="224">
        <f t="shared" si="20"/>
        <v>0</v>
      </c>
      <c r="AD87" s="8" t="e">
        <f t="shared" si="21"/>
        <v>#DIV/0!</v>
      </c>
    </row>
    <row r="88" spans="1:30" x14ac:dyDescent="0.4">
      <c r="A88" s="99" t="s">
        <v>192</v>
      </c>
      <c r="B88" s="198" t="s">
        <v>193</v>
      </c>
      <c r="C88" s="150">
        <v>48458.26</v>
      </c>
      <c r="D88" s="150">
        <v>4038.1883333333335</v>
      </c>
      <c r="E88" s="199" t="s">
        <v>19</v>
      </c>
      <c r="F88" s="150">
        <v>377.57</v>
      </c>
      <c r="G88" s="150">
        <v>2336.12</v>
      </c>
      <c r="H88" s="150">
        <v>754.69</v>
      </c>
      <c r="I88" s="150">
        <v>195.11</v>
      </c>
      <c r="J88" s="150">
        <v>247.55</v>
      </c>
      <c r="K88" s="150">
        <v>2353.15</v>
      </c>
      <c r="L88" s="150">
        <v>3457.74</v>
      </c>
      <c r="M88" s="150">
        <v>39.99</v>
      </c>
      <c r="N88" s="150">
        <v>39.99</v>
      </c>
      <c r="O88" s="150">
        <v>867.75</v>
      </c>
      <c r="P88" s="150">
        <v>605.91999999999996</v>
      </c>
      <c r="Q88" s="150">
        <v>1520.62</v>
      </c>
      <c r="R88" s="150">
        <v>12796.2</v>
      </c>
      <c r="S88" s="103"/>
      <c r="T88" s="150">
        <v>621.4</v>
      </c>
      <c r="U88" s="150">
        <v>1563.87</v>
      </c>
      <c r="V88" s="150">
        <v>14.25</v>
      </c>
      <c r="W88" s="150">
        <v>902.4</v>
      </c>
      <c r="X88" s="150">
        <v>146.91</v>
      </c>
      <c r="Y88" s="150">
        <v>805.07</v>
      </c>
      <c r="Z88" s="150">
        <v>4053.9</v>
      </c>
      <c r="AA88" s="104"/>
      <c r="AB88" s="226">
        <f t="shared" si="19"/>
        <v>6264.1900000000005</v>
      </c>
      <c r="AC88" s="224">
        <f t="shared" si="20"/>
        <v>-2210.2900000000004</v>
      </c>
      <c r="AD88" s="8">
        <f t="shared" si="21"/>
        <v>-0.35284530003081011</v>
      </c>
    </row>
    <row r="89" spans="1:30" x14ac:dyDescent="0.4">
      <c r="A89" s="99" t="s">
        <v>198</v>
      </c>
      <c r="B89" s="198" t="s">
        <v>199</v>
      </c>
      <c r="C89" s="151">
        <v>6070.38</v>
      </c>
      <c r="D89" s="151">
        <v>505.86500000000001</v>
      </c>
      <c r="E89" s="199" t="s">
        <v>19</v>
      </c>
      <c r="F89" s="152"/>
      <c r="G89" s="152"/>
      <c r="H89" s="151">
        <v>259.33</v>
      </c>
      <c r="I89" s="151">
        <v>3110.01</v>
      </c>
      <c r="J89" s="151">
        <v>4506.0200000000004</v>
      </c>
      <c r="K89" s="151">
        <v>359.33</v>
      </c>
      <c r="L89" s="151">
        <v>290.45</v>
      </c>
      <c r="M89" s="151">
        <v>1859.48</v>
      </c>
      <c r="N89" s="152"/>
      <c r="O89" s="151">
        <v>1077.9100000000001</v>
      </c>
      <c r="P89" s="151">
        <v>3174.37</v>
      </c>
      <c r="Q89" s="151">
        <v>1103.26</v>
      </c>
      <c r="R89" s="151">
        <v>15740.16</v>
      </c>
      <c r="S89" s="103"/>
      <c r="T89" s="151">
        <v>2215.4899999999998</v>
      </c>
      <c r="U89" s="151">
        <v>1362.02</v>
      </c>
      <c r="V89" s="151">
        <v>1328.85</v>
      </c>
      <c r="W89" s="151">
        <v>106.6</v>
      </c>
      <c r="X89" s="151">
        <v>2053.67</v>
      </c>
      <c r="Y89" s="152"/>
      <c r="Z89" s="151">
        <v>7066.63</v>
      </c>
      <c r="AA89" s="104"/>
      <c r="AB89" s="212">
        <f t="shared" si="19"/>
        <v>8234.69</v>
      </c>
      <c r="AC89" s="11">
        <f t="shared" si="20"/>
        <v>-1168.0600000000004</v>
      </c>
      <c r="AD89" s="12">
        <f t="shared" si="21"/>
        <v>-0.14184626257940497</v>
      </c>
    </row>
    <row r="90" spans="1:30" x14ac:dyDescent="0.4">
      <c r="A90" s="99"/>
      <c r="B90" s="198" t="s">
        <v>200</v>
      </c>
      <c r="C90" s="151">
        <v>150341.35999999999</v>
      </c>
      <c r="D90" s="151">
        <v>12528.446666666667</v>
      </c>
      <c r="E90" s="199" t="s">
        <v>19</v>
      </c>
      <c r="F90" s="151">
        <v>4586.7299999999996</v>
      </c>
      <c r="G90" s="151">
        <v>7881.61</v>
      </c>
      <c r="H90" s="151">
        <v>3970.01</v>
      </c>
      <c r="I90" s="151">
        <v>9881.1299999999992</v>
      </c>
      <c r="J90" s="151">
        <v>9366.9599999999991</v>
      </c>
      <c r="K90" s="151">
        <v>8400.33</v>
      </c>
      <c r="L90" s="151">
        <v>6788.29</v>
      </c>
      <c r="M90" s="151">
        <v>3856.96</v>
      </c>
      <c r="N90" s="151">
        <v>7239.53</v>
      </c>
      <c r="O90" s="151">
        <v>4873.6499999999996</v>
      </c>
      <c r="P90" s="151">
        <v>6229.05</v>
      </c>
      <c r="Q90" s="151">
        <v>6179.4</v>
      </c>
      <c r="R90" s="151">
        <v>79253.649999999994</v>
      </c>
      <c r="S90" s="105"/>
      <c r="T90" s="151">
        <v>5184.45</v>
      </c>
      <c r="U90" s="151">
        <v>6167.86</v>
      </c>
      <c r="V90" s="151">
        <v>6352.01</v>
      </c>
      <c r="W90" s="151">
        <v>6054.05</v>
      </c>
      <c r="X90" s="151">
        <v>6757.57</v>
      </c>
      <c r="Y90" s="151">
        <v>5103.97</v>
      </c>
      <c r="Z90" s="151">
        <v>35619.910000000003</v>
      </c>
      <c r="AA90" s="101"/>
      <c r="AB90" s="151">
        <f>SUM(AB81:AB89)</f>
        <v>44086.770000000004</v>
      </c>
      <c r="AC90" s="151">
        <f>SUM(AC81:AC89)</f>
        <v>-8466.86</v>
      </c>
      <c r="AD90" s="12">
        <f t="shared" si="16"/>
        <v>-0.19204990522099941</v>
      </c>
    </row>
    <row r="91" spans="1:30" x14ac:dyDescent="0.4">
      <c r="A91" s="99"/>
      <c r="B91" s="198"/>
      <c r="C91" s="149"/>
      <c r="D91" s="149"/>
      <c r="E91" s="199" t="s">
        <v>19</v>
      </c>
      <c r="F91" s="149"/>
      <c r="G91" s="149"/>
      <c r="H91" s="149"/>
      <c r="I91" s="149"/>
      <c r="J91" s="149"/>
      <c r="K91" s="149"/>
      <c r="L91" s="149"/>
      <c r="M91" s="149"/>
      <c r="N91" s="149"/>
      <c r="O91" s="149"/>
      <c r="P91" s="149"/>
      <c r="Q91" s="149"/>
      <c r="R91" s="149"/>
      <c r="S91" s="105"/>
      <c r="T91" s="149"/>
      <c r="U91" s="149"/>
      <c r="V91" s="149"/>
      <c r="W91" s="149"/>
      <c r="X91" s="149"/>
      <c r="Y91" s="149"/>
      <c r="Z91" s="149"/>
      <c r="AA91" s="104"/>
      <c r="AB91" s="149"/>
      <c r="AC91" s="4"/>
      <c r="AD91" s="5"/>
    </row>
    <row r="92" spans="1:30" x14ac:dyDescent="0.4">
      <c r="A92" s="99"/>
      <c r="B92" s="198" t="s">
        <v>201</v>
      </c>
      <c r="C92" s="149"/>
      <c r="D92" s="149"/>
      <c r="E92" s="199" t="s">
        <v>19</v>
      </c>
      <c r="F92" s="149"/>
      <c r="G92" s="149"/>
      <c r="H92" s="149"/>
      <c r="I92" s="149"/>
      <c r="J92" s="149"/>
      <c r="K92" s="149"/>
      <c r="L92" s="149"/>
      <c r="M92" s="149"/>
      <c r="N92" s="149"/>
      <c r="O92" s="149"/>
      <c r="P92" s="149"/>
      <c r="Q92" s="149"/>
      <c r="R92" s="149"/>
      <c r="S92" s="103"/>
      <c r="T92" s="149"/>
      <c r="U92" s="149"/>
      <c r="V92" s="149"/>
      <c r="W92" s="149"/>
      <c r="X92" s="149"/>
      <c r="Y92" s="149"/>
      <c r="Z92" s="149"/>
      <c r="AA92" s="105"/>
      <c r="AB92" s="149"/>
      <c r="AC92" s="4"/>
      <c r="AD92" s="5"/>
    </row>
    <row r="93" spans="1:30" x14ac:dyDescent="0.4">
      <c r="A93" s="99" t="s">
        <v>202</v>
      </c>
      <c r="B93" s="198" t="s">
        <v>203</v>
      </c>
      <c r="C93" s="151">
        <v>7510.29</v>
      </c>
      <c r="D93" s="151">
        <v>625.85749999999996</v>
      </c>
      <c r="E93" s="199" t="s">
        <v>19</v>
      </c>
      <c r="F93" s="152"/>
      <c r="G93" s="152"/>
      <c r="H93" s="151">
        <v>1065</v>
      </c>
      <c r="I93" s="152"/>
      <c r="J93" s="152"/>
      <c r="K93" s="151">
        <v>2750.07</v>
      </c>
      <c r="L93" s="151">
        <v>200</v>
      </c>
      <c r="M93" s="152"/>
      <c r="N93" s="152"/>
      <c r="O93" s="152"/>
      <c r="P93" s="152"/>
      <c r="Q93" s="152"/>
      <c r="R93" s="151">
        <v>4015.07</v>
      </c>
      <c r="S93" s="105"/>
      <c r="T93" s="152"/>
      <c r="U93" s="152"/>
      <c r="V93" s="152"/>
      <c r="W93" s="152"/>
      <c r="X93" s="152"/>
      <c r="Y93" s="152"/>
      <c r="Z93" s="152"/>
      <c r="AA93" s="105"/>
      <c r="AB93" s="151">
        <f>SUM(F93:K93)</f>
        <v>3815.07</v>
      </c>
      <c r="AC93" s="11">
        <f>+Z93-AB93</f>
        <v>-3815.07</v>
      </c>
      <c r="AD93" s="5">
        <f t="shared" si="16"/>
        <v>-1</v>
      </c>
    </row>
    <row r="94" spans="1:30" x14ac:dyDescent="0.4">
      <c r="A94" s="99"/>
      <c r="B94" s="198" t="s">
        <v>206</v>
      </c>
      <c r="C94" s="151">
        <v>7510.29</v>
      </c>
      <c r="D94" s="151">
        <v>625.85749999999996</v>
      </c>
      <c r="E94" s="199" t="s">
        <v>19</v>
      </c>
      <c r="F94" s="151"/>
      <c r="G94" s="151"/>
      <c r="H94" s="151">
        <v>1065</v>
      </c>
      <c r="I94" s="151"/>
      <c r="J94" s="151"/>
      <c r="K94" s="151">
        <v>2750.07</v>
      </c>
      <c r="L94" s="151">
        <v>200</v>
      </c>
      <c r="M94" s="151"/>
      <c r="N94" s="151"/>
      <c r="O94" s="151"/>
      <c r="P94" s="151"/>
      <c r="Q94" s="151"/>
      <c r="R94" s="151">
        <v>4015.07</v>
      </c>
      <c r="S94" s="103"/>
      <c r="T94" s="151"/>
      <c r="U94" s="151"/>
      <c r="V94" s="151"/>
      <c r="W94" s="151"/>
      <c r="X94" s="151"/>
      <c r="Y94" s="151"/>
      <c r="Z94" s="151"/>
      <c r="AA94" s="101"/>
      <c r="AB94" s="151">
        <f>SUM(AB93)</f>
        <v>3815.07</v>
      </c>
      <c r="AC94" s="151">
        <f>SUM(AC93)</f>
        <v>-3815.07</v>
      </c>
      <c r="AD94" s="10">
        <f t="shared" si="16"/>
        <v>-1</v>
      </c>
    </row>
    <row r="95" spans="1:30" x14ac:dyDescent="0.4">
      <c r="A95" s="99"/>
      <c r="B95" s="198"/>
      <c r="C95" s="149"/>
      <c r="D95" s="149"/>
      <c r="E95" s="199" t="s">
        <v>19</v>
      </c>
      <c r="F95" s="149"/>
      <c r="G95" s="149"/>
      <c r="H95" s="149"/>
      <c r="I95" s="149"/>
      <c r="J95" s="149"/>
      <c r="K95" s="149"/>
      <c r="L95" s="149"/>
      <c r="M95" s="149"/>
      <c r="N95" s="149"/>
      <c r="O95" s="149"/>
      <c r="P95" s="149"/>
      <c r="Q95" s="149"/>
      <c r="R95" s="149"/>
      <c r="S95" s="103"/>
      <c r="T95" s="149"/>
      <c r="U95" s="149"/>
      <c r="V95" s="149"/>
      <c r="W95" s="149"/>
      <c r="X95" s="149"/>
      <c r="Y95" s="149"/>
      <c r="Z95" s="149"/>
      <c r="AA95" s="101"/>
      <c r="AB95" s="149"/>
      <c r="AC95" s="4"/>
      <c r="AD95" s="5"/>
    </row>
    <row r="96" spans="1:30" x14ac:dyDescent="0.4">
      <c r="A96" s="99"/>
      <c r="B96" s="198" t="s">
        <v>207</v>
      </c>
      <c r="C96" s="151">
        <v>767878.82</v>
      </c>
      <c r="D96" s="151">
        <v>63989.901666666665</v>
      </c>
      <c r="E96" s="199" t="s">
        <v>19</v>
      </c>
      <c r="F96" s="151">
        <v>48826.400000000001</v>
      </c>
      <c r="G96" s="151">
        <v>58636.35</v>
      </c>
      <c r="H96" s="151">
        <v>54475.76</v>
      </c>
      <c r="I96" s="151">
        <v>60817.03</v>
      </c>
      <c r="J96" s="151">
        <v>49863.09</v>
      </c>
      <c r="K96" s="151">
        <v>53861.32</v>
      </c>
      <c r="L96" s="151">
        <v>43657.01</v>
      </c>
      <c r="M96" s="151">
        <v>45384.85</v>
      </c>
      <c r="N96" s="151">
        <v>47626.38</v>
      </c>
      <c r="O96" s="151">
        <v>35831.08</v>
      </c>
      <c r="P96" s="151">
        <v>38222.04</v>
      </c>
      <c r="Q96" s="151">
        <v>39479.58</v>
      </c>
      <c r="R96" s="151">
        <v>576680.89</v>
      </c>
      <c r="S96" s="105"/>
      <c r="T96" s="151">
        <v>41974.51</v>
      </c>
      <c r="U96" s="151">
        <v>37578.730000000003</v>
      </c>
      <c r="V96" s="151">
        <v>40399.19</v>
      </c>
      <c r="W96" s="151">
        <v>46359.41</v>
      </c>
      <c r="X96" s="151">
        <v>50714.85</v>
      </c>
      <c r="Y96" s="151">
        <v>47562.67</v>
      </c>
      <c r="Z96" s="151">
        <v>264589.36</v>
      </c>
      <c r="AA96" s="105"/>
      <c r="AB96" s="151">
        <f>SUM(F96:K96)</f>
        <v>326479.95</v>
      </c>
      <c r="AC96" s="11">
        <f>+Z96-AB96</f>
        <v>-61890.590000000026</v>
      </c>
      <c r="AD96" s="12">
        <f t="shared" si="16"/>
        <v>-0.18956934415114932</v>
      </c>
    </row>
    <row r="97" spans="1:30" x14ac:dyDescent="0.4">
      <c r="A97" s="99"/>
      <c r="B97" s="198"/>
      <c r="C97" s="149"/>
      <c r="D97" s="149"/>
      <c r="E97" s="199" t="s">
        <v>19</v>
      </c>
      <c r="F97" s="149"/>
      <c r="G97" s="149"/>
      <c r="H97" s="149"/>
      <c r="I97" s="149"/>
      <c r="J97" s="149"/>
      <c r="K97" s="149"/>
      <c r="L97" s="149"/>
      <c r="M97" s="149"/>
      <c r="N97" s="149"/>
      <c r="O97" s="149"/>
      <c r="P97" s="149"/>
      <c r="Q97" s="149"/>
      <c r="R97" s="149"/>
      <c r="S97" s="105"/>
      <c r="T97" s="149"/>
      <c r="U97" s="149"/>
      <c r="V97" s="149"/>
      <c r="W97" s="149"/>
      <c r="X97" s="149"/>
      <c r="Y97" s="149"/>
      <c r="Z97" s="149"/>
      <c r="AA97" s="105"/>
      <c r="AB97" s="149"/>
      <c r="AC97" s="4"/>
      <c r="AD97" s="5"/>
    </row>
    <row r="98" spans="1:30" x14ac:dyDescent="0.4">
      <c r="A98" s="99"/>
      <c r="B98" s="198" t="s">
        <v>70</v>
      </c>
      <c r="C98" s="149"/>
      <c r="D98" s="149"/>
      <c r="E98" s="199" t="s">
        <v>19</v>
      </c>
      <c r="F98" s="149"/>
      <c r="G98" s="149"/>
      <c r="H98" s="149"/>
      <c r="I98" s="149"/>
      <c r="J98" s="149"/>
      <c r="K98" s="149"/>
      <c r="L98" s="149"/>
      <c r="M98" s="149"/>
      <c r="N98" s="149"/>
      <c r="O98" s="149"/>
      <c r="P98" s="149"/>
      <c r="Q98" s="149"/>
      <c r="R98" s="149"/>
      <c r="S98" s="105"/>
      <c r="T98" s="149"/>
      <c r="U98" s="149"/>
      <c r="V98" s="149"/>
      <c r="W98" s="149"/>
      <c r="X98" s="149"/>
      <c r="Y98" s="149"/>
      <c r="Z98" s="149"/>
      <c r="AA98" s="101"/>
      <c r="AB98" s="149"/>
      <c r="AC98" s="4"/>
      <c r="AD98" s="5"/>
    </row>
    <row r="99" spans="1:30" x14ac:dyDescent="0.4">
      <c r="A99" s="99" t="s">
        <v>66</v>
      </c>
      <c r="B99" s="198" t="s">
        <v>67</v>
      </c>
      <c r="C99" s="150">
        <v>142608</v>
      </c>
      <c r="D99" s="150">
        <v>11884</v>
      </c>
      <c r="E99" s="199" t="s">
        <v>19</v>
      </c>
      <c r="F99" s="150">
        <v>11884</v>
      </c>
      <c r="G99" s="150">
        <v>11884</v>
      </c>
      <c r="H99" s="150">
        <v>11884</v>
      </c>
      <c r="I99" s="150">
        <v>11884</v>
      </c>
      <c r="J99" s="150">
        <v>11884</v>
      </c>
      <c r="K99" s="150">
        <v>11884</v>
      </c>
      <c r="L99" s="150">
        <v>11884</v>
      </c>
      <c r="M99" s="150">
        <v>11884</v>
      </c>
      <c r="N99" s="150">
        <v>11884</v>
      </c>
      <c r="O99" s="150">
        <v>11884</v>
      </c>
      <c r="P99" s="150">
        <v>11884</v>
      </c>
      <c r="Q99" s="150">
        <v>11884</v>
      </c>
      <c r="R99" s="150">
        <v>142608</v>
      </c>
      <c r="S99" s="103"/>
      <c r="T99" s="150">
        <v>11884</v>
      </c>
      <c r="U99" s="150">
        <v>11884</v>
      </c>
      <c r="V99" s="150">
        <v>11884</v>
      </c>
      <c r="W99" s="150">
        <v>11884</v>
      </c>
      <c r="X99" s="150">
        <v>11884</v>
      </c>
      <c r="Y99" s="150">
        <v>11884</v>
      </c>
      <c r="Z99" s="150">
        <v>71304</v>
      </c>
      <c r="AA99" s="105"/>
      <c r="AB99" s="226">
        <f>SUM(F99:K99)</f>
        <v>71304</v>
      </c>
      <c r="AC99" s="224">
        <f>+Z99-AB99</f>
        <v>0</v>
      </c>
      <c r="AD99" s="8">
        <f t="shared" si="16"/>
        <v>0</v>
      </c>
    </row>
    <row r="100" spans="1:30" x14ac:dyDescent="0.4">
      <c r="A100" s="99" t="s">
        <v>68</v>
      </c>
      <c r="B100" s="198" t="s">
        <v>69</v>
      </c>
      <c r="C100" s="151">
        <v>19020</v>
      </c>
      <c r="D100" s="151">
        <v>1585</v>
      </c>
      <c r="E100" s="199" t="s">
        <v>19</v>
      </c>
      <c r="F100" s="151">
        <v>1585</v>
      </c>
      <c r="G100" s="151">
        <v>1585</v>
      </c>
      <c r="H100" s="151">
        <v>1585</v>
      </c>
      <c r="I100" s="151">
        <v>1585</v>
      </c>
      <c r="J100" s="151">
        <v>1585</v>
      </c>
      <c r="K100" s="151">
        <v>1585</v>
      </c>
      <c r="L100" s="151">
        <v>1585</v>
      </c>
      <c r="M100" s="151">
        <v>1585</v>
      </c>
      <c r="N100" s="151">
        <v>1585</v>
      </c>
      <c r="O100" s="151">
        <v>1585</v>
      </c>
      <c r="P100" s="151">
        <v>1585</v>
      </c>
      <c r="Q100" s="151">
        <v>1585</v>
      </c>
      <c r="R100" s="151">
        <v>19020</v>
      </c>
      <c r="S100" s="105"/>
      <c r="T100" s="151">
        <v>1585</v>
      </c>
      <c r="U100" s="151">
        <v>1585</v>
      </c>
      <c r="V100" s="151">
        <v>1585</v>
      </c>
      <c r="W100" s="151">
        <v>1585</v>
      </c>
      <c r="X100" s="151">
        <v>1585</v>
      </c>
      <c r="Y100" s="151">
        <v>1585</v>
      </c>
      <c r="Z100" s="151">
        <v>9510</v>
      </c>
      <c r="AA100" s="101"/>
      <c r="AB100" s="212">
        <f>SUM(F100:K100)</f>
        <v>9510</v>
      </c>
      <c r="AC100" s="11">
        <f>+Z100-AB100</f>
        <v>0</v>
      </c>
      <c r="AD100" s="12">
        <f t="shared" ref="AD100" si="22">+AC100/AB100</f>
        <v>0</v>
      </c>
    </row>
    <row r="101" spans="1:30" x14ac:dyDescent="0.4">
      <c r="A101" s="99"/>
      <c r="B101" s="198" t="s">
        <v>70</v>
      </c>
      <c r="C101" s="151">
        <v>161628</v>
      </c>
      <c r="D101" s="151">
        <v>13469</v>
      </c>
      <c r="E101" s="199" t="s">
        <v>19</v>
      </c>
      <c r="F101" s="151">
        <v>13469</v>
      </c>
      <c r="G101" s="151">
        <v>13469</v>
      </c>
      <c r="H101" s="151">
        <v>13469</v>
      </c>
      <c r="I101" s="151">
        <v>13469</v>
      </c>
      <c r="J101" s="151">
        <v>13469</v>
      </c>
      <c r="K101" s="151">
        <v>13469</v>
      </c>
      <c r="L101" s="151">
        <v>13469</v>
      </c>
      <c r="M101" s="151">
        <v>13469</v>
      </c>
      <c r="N101" s="151">
        <v>13469</v>
      </c>
      <c r="O101" s="151">
        <v>13469</v>
      </c>
      <c r="P101" s="151">
        <v>13469</v>
      </c>
      <c r="Q101" s="151">
        <v>13469</v>
      </c>
      <c r="R101" s="151">
        <v>161628</v>
      </c>
      <c r="S101" s="103"/>
      <c r="T101" s="151">
        <v>13469</v>
      </c>
      <c r="U101" s="151">
        <v>13469</v>
      </c>
      <c r="V101" s="151">
        <v>13469</v>
      </c>
      <c r="W101" s="151">
        <v>13469</v>
      </c>
      <c r="X101" s="151">
        <v>13469</v>
      </c>
      <c r="Y101" s="151">
        <v>13469</v>
      </c>
      <c r="Z101" s="151">
        <v>80814</v>
      </c>
      <c r="AA101" s="101"/>
      <c r="AB101" s="151">
        <f>SUM(AB99:AB100)</f>
        <v>80814</v>
      </c>
      <c r="AC101" s="151">
        <f>SUM(AC99:AC100)</f>
        <v>0</v>
      </c>
      <c r="AD101" s="12">
        <f t="shared" si="16"/>
        <v>0</v>
      </c>
    </row>
    <row r="102" spans="1:30" x14ac:dyDescent="0.4">
      <c r="A102" s="99"/>
      <c r="B102" s="198"/>
      <c r="C102" s="152"/>
      <c r="D102" s="152"/>
      <c r="E102" s="199" t="s">
        <v>19</v>
      </c>
      <c r="F102" s="152"/>
      <c r="G102" s="152"/>
      <c r="H102" s="152"/>
      <c r="I102" s="152"/>
      <c r="J102" s="152"/>
      <c r="K102" s="152"/>
      <c r="L102" s="152"/>
      <c r="M102" s="152"/>
      <c r="N102" s="152"/>
      <c r="O102" s="152"/>
      <c r="P102" s="152"/>
      <c r="Q102" s="152"/>
      <c r="R102" s="152"/>
      <c r="S102" s="103"/>
      <c r="T102" s="152"/>
      <c r="U102" s="152"/>
      <c r="V102" s="152"/>
      <c r="W102" s="152"/>
      <c r="X102" s="152"/>
      <c r="Y102" s="152"/>
      <c r="Z102" s="152"/>
      <c r="AA102" s="104"/>
      <c r="AB102" s="152"/>
      <c r="AC102" s="9"/>
      <c r="AD102" s="10"/>
    </row>
    <row r="103" spans="1:30" x14ac:dyDescent="0.4">
      <c r="A103" s="99"/>
      <c r="B103" s="198" t="s">
        <v>71</v>
      </c>
      <c r="C103" s="150">
        <v>929506.82</v>
      </c>
      <c r="D103" s="150">
        <v>77458.901666666672</v>
      </c>
      <c r="E103" s="199" t="s">
        <v>19</v>
      </c>
      <c r="F103" s="150">
        <v>62295.4</v>
      </c>
      <c r="G103" s="150">
        <v>72105.350000000006</v>
      </c>
      <c r="H103" s="150">
        <v>67944.759999999995</v>
      </c>
      <c r="I103" s="150">
        <v>74286.03</v>
      </c>
      <c r="J103" s="150">
        <v>63332.09</v>
      </c>
      <c r="K103" s="150">
        <v>67330.320000000007</v>
      </c>
      <c r="L103" s="150">
        <v>57126.01</v>
      </c>
      <c r="M103" s="150">
        <v>58853.85</v>
      </c>
      <c r="N103" s="150">
        <v>61095.38</v>
      </c>
      <c r="O103" s="150">
        <v>49300.08</v>
      </c>
      <c r="P103" s="150">
        <v>51691.040000000001</v>
      </c>
      <c r="Q103" s="150">
        <v>52948.58</v>
      </c>
      <c r="R103" s="150">
        <v>738308.89</v>
      </c>
      <c r="S103" s="105"/>
      <c r="T103" s="150">
        <v>55443.51</v>
      </c>
      <c r="U103" s="150">
        <v>51047.73</v>
      </c>
      <c r="V103" s="150">
        <v>53868.19</v>
      </c>
      <c r="W103" s="150">
        <v>59828.41</v>
      </c>
      <c r="X103" s="150">
        <v>64183.85</v>
      </c>
      <c r="Y103" s="150">
        <v>61031.67</v>
      </c>
      <c r="Z103" s="150">
        <v>345403.36</v>
      </c>
      <c r="AA103" s="105"/>
      <c r="AB103" s="150">
        <f>SUM(F103:K103)</f>
        <v>407293.95</v>
      </c>
      <c r="AC103" s="4">
        <f>+Z103-AB103</f>
        <v>-61890.590000000026</v>
      </c>
      <c r="AD103" s="5">
        <f t="shared" si="16"/>
        <v>-0.15195558392163699</v>
      </c>
    </row>
    <row r="104" spans="1:30" x14ac:dyDescent="0.4">
      <c r="A104" s="99"/>
      <c r="B104" s="198"/>
      <c r="C104" s="149"/>
      <c r="D104" s="149"/>
      <c r="E104" s="199" t="s">
        <v>19</v>
      </c>
      <c r="F104" s="149"/>
      <c r="G104" s="149"/>
      <c r="H104" s="149"/>
      <c r="I104" s="149"/>
      <c r="J104" s="149"/>
      <c r="K104" s="149"/>
      <c r="L104" s="149"/>
      <c r="M104" s="149"/>
      <c r="N104" s="149"/>
      <c r="O104" s="149"/>
      <c r="P104" s="149"/>
      <c r="Q104" s="149"/>
      <c r="R104" s="149"/>
      <c r="S104" s="103"/>
      <c r="T104" s="149"/>
      <c r="U104" s="149"/>
      <c r="V104" s="149"/>
      <c r="W104" s="149"/>
      <c r="X104" s="149"/>
      <c r="Y104" s="149"/>
      <c r="Z104" s="149"/>
      <c r="AA104" s="105"/>
      <c r="AB104" s="149"/>
      <c r="AC104" s="4"/>
      <c r="AD104" s="5"/>
    </row>
    <row r="105" spans="1:30" x14ac:dyDescent="0.4">
      <c r="A105" s="99"/>
      <c r="B105" s="198"/>
      <c r="C105" s="152"/>
      <c r="D105" s="152"/>
      <c r="E105" s="199" t="s">
        <v>19</v>
      </c>
      <c r="F105" s="152"/>
      <c r="G105" s="152"/>
      <c r="H105" s="152"/>
      <c r="I105" s="152"/>
      <c r="J105" s="152"/>
      <c r="K105" s="152"/>
      <c r="L105" s="152"/>
      <c r="M105" s="152"/>
      <c r="N105" s="152"/>
      <c r="O105" s="152"/>
      <c r="P105" s="152"/>
      <c r="Q105" s="152"/>
      <c r="R105" s="152"/>
      <c r="S105" s="103"/>
      <c r="T105" s="152"/>
      <c r="U105" s="152"/>
      <c r="V105" s="152"/>
      <c r="W105" s="152"/>
      <c r="X105" s="152"/>
      <c r="Y105" s="152"/>
      <c r="Z105" s="152"/>
      <c r="AA105" s="103"/>
      <c r="AB105" s="152"/>
      <c r="AC105" s="4"/>
      <c r="AD105" s="5"/>
    </row>
    <row r="106" spans="1:30" ht="15" thickBot="1" x14ac:dyDescent="0.45">
      <c r="A106" s="99"/>
      <c r="B106" s="198" t="s">
        <v>228</v>
      </c>
      <c r="C106" s="153">
        <v>-116846.37</v>
      </c>
      <c r="D106" s="153">
        <v>-9737.1975000000002</v>
      </c>
      <c r="E106" s="199" t="s">
        <v>19</v>
      </c>
      <c r="F106" s="153">
        <v>74381.61</v>
      </c>
      <c r="G106" s="153">
        <v>-35833.589999999997</v>
      </c>
      <c r="H106" s="153">
        <v>-25819.75</v>
      </c>
      <c r="I106" s="153">
        <v>-1892.35</v>
      </c>
      <c r="J106" s="153">
        <v>39729.19</v>
      </c>
      <c r="K106" s="153">
        <v>-27211.48</v>
      </c>
      <c r="L106" s="153">
        <v>-32106.93</v>
      </c>
      <c r="M106" s="153">
        <v>-16223.87</v>
      </c>
      <c r="N106" s="153">
        <v>-775.02</v>
      </c>
      <c r="O106" s="153">
        <v>-24260.9</v>
      </c>
      <c r="P106" s="153">
        <v>34775.74</v>
      </c>
      <c r="Q106" s="153">
        <v>-14539.46</v>
      </c>
      <c r="R106" s="153">
        <v>-29776.81</v>
      </c>
      <c r="S106" s="103"/>
      <c r="T106" s="153">
        <v>-1405.62</v>
      </c>
      <c r="U106" s="153">
        <v>-13294.86</v>
      </c>
      <c r="V106" s="153">
        <v>9152.19</v>
      </c>
      <c r="W106" s="153">
        <v>29600.720000000001</v>
      </c>
      <c r="X106" s="153">
        <v>-21139.49</v>
      </c>
      <c r="Y106" s="153">
        <v>-2846.87</v>
      </c>
      <c r="Z106" s="153">
        <v>66.069999999999993</v>
      </c>
      <c r="AA106" s="104"/>
      <c r="AB106" s="153">
        <f>SUM(F106:K106)</f>
        <v>23353.630000000008</v>
      </c>
      <c r="AC106" s="13">
        <f>+Z106-AB106</f>
        <v>-23287.560000000009</v>
      </c>
      <c r="AD106" s="14">
        <f t="shared" si="16"/>
        <v>-0.99717088949341071</v>
      </c>
    </row>
    <row r="107" spans="1:30" ht="15" thickTop="1" x14ac:dyDescent="0.4">
      <c r="A107" s="99"/>
      <c r="B107" s="198"/>
      <c r="C107" s="149"/>
      <c r="D107" s="149"/>
      <c r="E107" s="199" t="s">
        <v>19</v>
      </c>
      <c r="F107" s="149"/>
      <c r="G107" s="149"/>
      <c r="H107" s="149"/>
      <c r="I107" s="149"/>
      <c r="J107" s="149"/>
      <c r="K107" s="149"/>
      <c r="L107" s="149"/>
      <c r="M107" s="149"/>
      <c r="N107" s="149"/>
      <c r="O107" s="149"/>
      <c r="P107" s="149"/>
      <c r="Q107" s="149"/>
      <c r="R107" s="149"/>
      <c r="T107" s="149"/>
      <c r="U107" s="149"/>
      <c r="V107" s="149"/>
      <c r="W107" s="149"/>
      <c r="X107" s="149"/>
      <c r="Y107" s="149"/>
      <c r="Z107" s="149"/>
      <c r="AA107" s="101"/>
      <c r="AB107" s="149"/>
      <c r="AC107" s="5"/>
    </row>
    <row r="108" spans="1:30" x14ac:dyDescent="0.4">
      <c r="A108" s="99"/>
      <c r="B108" s="198"/>
      <c r="C108" s="149"/>
      <c r="D108" s="149"/>
      <c r="E108" s="199" t="s">
        <v>19</v>
      </c>
      <c r="F108" s="149"/>
      <c r="G108" s="149"/>
      <c r="H108" s="149"/>
      <c r="I108" s="149"/>
      <c r="J108" s="149"/>
      <c r="K108" s="149"/>
      <c r="L108" s="149"/>
      <c r="M108" s="149"/>
      <c r="N108" s="149"/>
      <c r="O108" s="149"/>
      <c r="P108" s="149"/>
      <c r="Q108" s="149"/>
      <c r="R108" s="149"/>
      <c r="T108" s="149"/>
      <c r="U108" s="149"/>
      <c r="V108" s="149"/>
      <c r="W108" s="149"/>
      <c r="X108" s="149"/>
      <c r="Y108" s="149"/>
      <c r="Z108" s="149"/>
      <c r="AA108" s="103"/>
      <c r="AB108" s="4"/>
      <c r="AC108" s="5"/>
    </row>
    <row r="109" spans="1:30" x14ac:dyDescent="0.4">
      <c r="B109" s="198"/>
      <c r="C109" s="149"/>
      <c r="D109" s="149"/>
      <c r="E109" s="199" t="s">
        <v>19</v>
      </c>
      <c r="F109" s="149"/>
      <c r="G109" s="149"/>
      <c r="H109" s="149"/>
      <c r="I109" s="149"/>
      <c r="J109" s="149"/>
      <c r="K109" s="149"/>
      <c r="L109" s="149"/>
      <c r="M109" s="149"/>
      <c r="N109" s="149"/>
      <c r="O109" s="149"/>
      <c r="P109" s="149"/>
      <c r="Q109" s="149"/>
      <c r="R109" s="149"/>
      <c r="T109" s="149"/>
      <c r="U109" s="149"/>
      <c r="V109" s="149"/>
      <c r="W109" s="149"/>
      <c r="X109" s="149"/>
      <c r="Y109" s="149"/>
      <c r="Z109" s="149"/>
      <c r="AA109" s="105"/>
      <c r="AB109" s="4"/>
      <c r="AC109" s="5"/>
    </row>
    <row r="110" spans="1:30" x14ac:dyDescent="0.4">
      <c r="AA110" s="101"/>
      <c r="AB110" s="4"/>
      <c r="AC110" s="5"/>
    </row>
    <row r="111" spans="1:30" x14ac:dyDescent="0.4">
      <c r="AA111" s="101"/>
      <c r="AB111" s="4"/>
      <c r="AC111" s="5"/>
    </row>
    <row r="112" spans="1:30" x14ac:dyDescent="0.4">
      <c r="AA112" s="101"/>
      <c r="AB112" s="4"/>
      <c r="AC112" s="5"/>
    </row>
    <row r="113" spans="28:29" x14ac:dyDescent="0.4">
      <c r="AB113" s="4"/>
      <c r="AC113" s="5"/>
    </row>
    <row r="114" spans="28:29" x14ac:dyDescent="0.4">
      <c r="AB114" s="4"/>
      <c r="AC114" s="5"/>
    </row>
    <row r="115" spans="28:29" x14ac:dyDescent="0.4">
      <c r="AB115" s="4"/>
      <c r="AC115" s="5"/>
    </row>
    <row r="116" spans="28:29" x14ac:dyDescent="0.4">
      <c r="AB116" s="4"/>
      <c r="AC116" s="5"/>
    </row>
    <row r="117" spans="28:29" x14ac:dyDescent="0.4">
      <c r="AB117" s="4"/>
      <c r="AC117" s="5"/>
    </row>
    <row r="118" spans="28:29" x14ac:dyDescent="0.4">
      <c r="AB118" s="4"/>
      <c r="AC118" s="5"/>
    </row>
    <row r="119" spans="28:29" x14ac:dyDescent="0.4">
      <c r="AB119" s="4"/>
      <c r="AC119" s="5"/>
    </row>
    <row r="120" spans="28:29" x14ac:dyDescent="0.4">
      <c r="AB120" s="4"/>
      <c r="AC120" s="5"/>
    </row>
    <row r="121" spans="28:29" x14ac:dyDescent="0.4">
      <c r="AB121" s="4"/>
      <c r="AC121" s="5"/>
    </row>
    <row r="122" spans="28:29" x14ac:dyDescent="0.4">
      <c r="AB122" s="4"/>
      <c r="AC122" s="5"/>
    </row>
    <row r="123" spans="28:29" x14ac:dyDescent="0.4">
      <c r="AB123" s="4"/>
      <c r="AC123" s="5"/>
    </row>
    <row r="124" spans="28:29" x14ac:dyDescent="0.4">
      <c r="AB124" s="4"/>
      <c r="AC124" s="5"/>
    </row>
    <row r="125" spans="28:29" x14ac:dyDescent="0.4">
      <c r="AB125" s="4"/>
      <c r="AC125" s="5"/>
    </row>
    <row r="126" spans="28:29" x14ac:dyDescent="0.4">
      <c r="AB126" s="4"/>
      <c r="AC126" s="5"/>
    </row>
    <row r="127" spans="28:29" x14ac:dyDescent="0.4">
      <c r="AB127" s="4"/>
      <c r="AC127" s="5"/>
    </row>
    <row r="128" spans="28:29" x14ac:dyDescent="0.4">
      <c r="AB128" s="4"/>
      <c r="AC128" s="5"/>
    </row>
    <row r="129" spans="28:29" x14ac:dyDescent="0.4">
      <c r="AB129" s="4"/>
      <c r="AC129" s="5"/>
    </row>
    <row r="130" spans="28:29" x14ac:dyDescent="0.4">
      <c r="AB130" s="4"/>
      <c r="AC130" s="5"/>
    </row>
    <row r="131" spans="28:29" x14ac:dyDescent="0.4">
      <c r="AB131" s="4"/>
      <c r="AC131" s="5"/>
    </row>
    <row r="132" spans="28:29" x14ac:dyDescent="0.4">
      <c r="AB132" s="4"/>
      <c r="AC132" s="5"/>
    </row>
    <row r="133" spans="28:29" x14ac:dyDescent="0.4">
      <c r="AB133" s="4"/>
      <c r="AC133" s="5"/>
    </row>
    <row r="134" spans="28:29" x14ac:dyDescent="0.4">
      <c r="AB134" s="4"/>
      <c r="AC134" s="5"/>
    </row>
    <row r="135" spans="28:29" x14ac:dyDescent="0.4">
      <c r="AB135" s="4"/>
      <c r="AC135" s="5"/>
    </row>
    <row r="136" spans="28:29" x14ac:dyDescent="0.4">
      <c r="AB136" s="4"/>
      <c r="AC136" s="5"/>
    </row>
    <row r="137" spans="28:29" x14ac:dyDescent="0.4">
      <c r="AB137" s="4"/>
      <c r="AC137" s="5"/>
    </row>
    <row r="138" spans="28:29" x14ac:dyDescent="0.4">
      <c r="AB138" s="4"/>
      <c r="AC138" s="5"/>
    </row>
    <row r="139" spans="28:29" x14ac:dyDescent="0.4">
      <c r="AB139" s="4"/>
      <c r="AC139" s="5"/>
    </row>
    <row r="140" spans="28:29" x14ac:dyDescent="0.4">
      <c r="AB140" s="4"/>
      <c r="AC140" s="5"/>
    </row>
    <row r="141" spans="28:29" x14ac:dyDescent="0.4">
      <c r="AB141" s="4"/>
      <c r="AC141" s="5"/>
    </row>
    <row r="142" spans="28:29" x14ac:dyDescent="0.4">
      <c r="AB142" s="4"/>
      <c r="AC142" s="5"/>
    </row>
    <row r="143" spans="28:29" x14ac:dyDescent="0.4">
      <c r="AB143" s="4"/>
      <c r="AC143" s="5"/>
    </row>
    <row r="144" spans="28:29" x14ac:dyDescent="0.4">
      <c r="AB144" s="4"/>
      <c r="AC144" s="5"/>
    </row>
    <row r="145" spans="28:29" x14ac:dyDescent="0.4">
      <c r="AB145" s="4"/>
      <c r="AC145" s="5"/>
    </row>
    <row r="146" spans="28:29" x14ac:dyDescent="0.4">
      <c r="AB146" s="4"/>
      <c r="AC146" s="5"/>
    </row>
    <row r="147" spans="28:29" x14ac:dyDescent="0.4">
      <c r="AB147" s="4"/>
      <c r="AC147" s="5"/>
    </row>
    <row r="148" spans="28:29" x14ac:dyDescent="0.4">
      <c r="AB148" s="4"/>
      <c r="AC148" s="5"/>
    </row>
    <row r="149" spans="28:29" x14ac:dyDescent="0.4">
      <c r="AB149" s="4"/>
      <c r="AC149" s="5"/>
    </row>
    <row r="150" spans="28:29" x14ac:dyDescent="0.4">
      <c r="AB150" s="4"/>
      <c r="AC150" s="5"/>
    </row>
    <row r="151" spans="28:29" x14ac:dyDescent="0.4">
      <c r="AB151" s="4"/>
      <c r="AC151" s="5"/>
    </row>
    <row r="152" spans="28:29" x14ac:dyDescent="0.4">
      <c r="AB152" s="4"/>
      <c r="AC152" s="5"/>
    </row>
    <row r="153" spans="28:29" x14ac:dyDescent="0.4">
      <c r="AB153" s="4"/>
      <c r="AC153" s="5"/>
    </row>
    <row r="154" spans="28:29" x14ac:dyDescent="0.4">
      <c r="AB154" s="4"/>
      <c r="AC154" s="5"/>
    </row>
    <row r="155" spans="28:29" x14ac:dyDescent="0.4">
      <c r="AB155" s="4"/>
      <c r="AC155" s="5"/>
    </row>
    <row r="156" spans="28:29" x14ac:dyDescent="0.4">
      <c r="AB156" s="4"/>
      <c r="AC156" s="5"/>
    </row>
    <row r="157" spans="28:29" x14ac:dyDescent="0.4">
      <c r="AB157" s="4"/>
      <c r="AC157" s="5"/>
    </row>
    <row r="158" spans="28:29" x14ac:dyDescent="0.4">
      <c r="AB158" s="4"/>
      <c r="AC158" s="5"/>
    </row>
    <row r="159" spans="28:29" x14ac:dyDescent="0.4">
      <c r="AB159" s="4"/>
      <c r="AC159" s="5"/>
    </row>
    <row r="160" spans="28:29" x14ac:dyDescent="0.4">
      <c r="AB160" s="4"/>
      <c r="AC160" s="5"/>
    </row>
    <row r="161" spans="28:29" x14ac:dyDescent="0.4">
      <c r="AB161" s="4"/>
      <c r="AC161" s="5"/>
    </row>
    <row r="162" spans="28:29" x14ac:dyDescent="0.4">
      <c r="AB162" s="4"/>
      <c r="AC162" s="5"/>
    </row>
    <row r="163" spans="28:29" x14ac:dyDescent="0.4">
      <c r="AB163" s="4"/>
      <c r="AC163" s="5"/>
    </row>
    <row r="164" spans="28:29" x14ac:dyDescent="0.4">
      <c r="AB164" s="4"/>
      <c r="AC164" s="5"/>
    </row>
    <row r="165" spans="28:29" x14ac:dyDescent="0.4">
      <c r="AB165" s="4"/>
      <c r="AC165" s="5"/>
    </row>
    <row r="166" spans="28:29" x14ac:dyDescent="0.4">
      <c r="AB166" s="4"/>
      <c r="AC166" s="5"/>
    </row>
    <row r="167" spans="28:29" x14ac:dyDescent="0.4">
      <c r="AB167" s="4"/>
      <c r="AC167" s="5"/>
    </row>
    <row r="168" spans="28:29" x14ac:dyDescent="0.4">
      <c r="AB168" s="4"/>
      <c r="AC168" s="5"/>
    </row>
    <row r="169" spans="28:29" x14ac:dyDescent="0.4">
      <c r="AB169" s="4"/>
      <c r="AC169" s="5"/>
    </row>
    <row r="170" spans="28:29" x14ac:dyDescent="0.4">
      <c r="AB170" s="4"/>
      <c r="AC170" s="5"/>
    </row>
    <row r="171" spans="28:29" x14ac:dyDescent="0.4">
      <c r="AB171" s="4"/>
      <c r="AC171" s="5"/>
    </row>
    <row r="172" spans="28:29" x14ac:dyDescent="0.4">
      <c r="AB172" s="4"/>
      <c r="AC172" s="5"/>
    </row>
    <row r="173" spans="28:29" x14ac:dyDescent="0.4">
      <c r="AB173" s="4"/>
      <c r="AC173" s="5"/>
    </row>
    <row r="174" spans="28:29" x14ac:dyDescent="0.4">
      <c r="AB174" s="4"/>
      <c r="AC174" s="5"/>
    </row>
    <row r="175" spans="28:29" x14ac:dyDescent="0.4">
      <c r="AB175" s="4"/>
      <c r="AC175" s="5"/>
    </row>
    <row r="176" spans="28:29" x14ac:dyDescent="0.4">
      <c r="AB176" s="4"/>
      <c r="AC176" s="5"/>
    </row>
    <row r="177" spans="28:29" x14ac:dyDescent="0.4">
      <c r="AB177" s="4"/>
      <c r="AC177" s="5"/>
    </row>
    <row r="178" spans="28:29" x14ac:dyDescent="0.4">
      <c r="AB178" s="4"/>
      <c r="AC178" s="5"/>
    </row>
    <row r="179" spans="28:29" x14ac:dyDescent="0.4">
      <c r="AB179" s="4"/>
      <c r="AC179" s="5"/>
    </row>
    <row r="180" spans="28:29" x14ac:dyDescent="0.4">
      <c r="AB180" s="4"/>
      <c r="AC180" s="5"/>
    </row>
    <row r="181" spans="28:29" x14ac:dyDescent="0.4">
      <c r="AB181" s="4"/>
      <c r="AC181" s="5"/>
    </row>
    <row r="182" spans="28:29" x14ac:dyDescent="0.4">
      <c r="AB182" s="4"/>
      <c r="AC182" s="5"/>
    </row>
    <row r="183" spans="28:29" x14ac:dyDescent="0.4">
      <c r="AB183" s="4"/>
      <c r="AC183" s="5"/>
    </row>
    <row r="184" spans="28:29" x14ac:dyDescent="0.4">
      <c r="AB184" s="4"/>
      <c r="AC184" s="5"/>
    </row>
    <row r="185" spans="28:29" x14ac:dyDescent="0.4">
      <c r="AB185" s="4"/>
      <c r="AC185" s="5"/>
    </row>
    <row r="186" spans="28:29" x14ac:dyDescent="0.4">
      <c r="AB186" s="4"/>
      <c r="AC186" s="5"/>
    </row>
    <row r="187" spans="28:29" x14ac:dyDescent="0.4">
      <c r="AB187" s="4"/>
      <c r="AC187" s="5"/>
    </row>
    <row r="188" spans="28:29" x14ac:dyDescent="0.4">
      <c r="AB188" s="4"/>
      <c r="AC188" s="5"/>
    </row>
    <row r="189" spans="28:29" x14ac:dyDescent="0.4">
      <c r="AB189" s="4"/>
      <c r="AC189" s="5"/>
    </row>
    <row r="190" spans="28:29" x14ac:dyDescent="0.4">
      <c r="AB190" s="4"/>
      <c r="AC190" s="5"/>
    </row>
    <row r="191" spans="28:29" x14ac:dyDescent="0.4">
      <c r="AB191" s="4"/>
      <c r="AC191" s="5"/>
    </row>
    <row r="192" spans="28:29" x14ac:dyDescent="0.4">
      <c r="AB192" s="4"/>
      <c r="AC192" s="5"/>
    </row>
    <row r="193" spans="28:29" x14ac:dyDescent="0.4">
      <c r="AB193" s="4"/>
      <c r="AC193" s="5"/>
    </row>
    <row r="194" spans="28:29" x14ac:dyDescent="0.4">
      <c r="AB194" s="4"/>
      <c r="AC194" s="5"/>
    </row>
    <row r="195" spans="28:29" x14ac:dyDescent="0.4">
      <c r="AB195" s="4"/>
      <c r="AC195" s="5"/>
    </row>
    <row r="196" spans="28:29" x14ac:dyDescent="0.4">
      <c r="AB196" s="4"/>
      <c r="AC196" s="5"/>
    </row>
    <row r="197" spans="28:29" x14ac:dyDescent="0.4">
      <c r="AB197" s="4"/>
      <c r="AC197" s="5"/>
    </row>
    <row r="198" spans="28:29" x14ac:dyDescent="0.4">
      <c r="AB198" s="4"/>
      <c r="AC198" s="5"/>
    </row>
    <row r="199" spans="28:29" x14ac:dyDescent="0.4">
      <c r="AB199" s="4"/>
      <c r="AC199" s="5"/>
    </row>
    <row r="200" spans="28:29" x14ac:dyDescent="0.4">
      <c r="AB200" s="4"/>
      <c r="AC200" s="5"/>
    </row>
    <row r="201" spans="28:29" x14ac:dyDescent="0.4">
      <c r="AB201" s="4"/>
      <c r="AC201" s="5"/>
    </row>
    <row r="202" spans="28:29" x14ac:dyDescent="0.4">
      <c r="AB202" s="4"/>
      <c r="AC202" s="5"/>
    </row>
    <row r="203" spans="28:29" x14ac:dyDescent="0.4">
      <c r="AB203" s="4"/>
      <c r="AC203" s="5"/>
    </row>
    <row r="204" spans="28:29" x14ac:dyDescent="0.4">
      <c r="AB204" s="4"/>
      <c r="AC204" s="5"/>
    </row>
    <row r="205" spans="28:29" x14ac:dyDescent="0.4">
      <c r="AB205" s="4"/>
      <c r="AC205" s="5"/>
    </row>
    <row r="206" spans="28:29" x14ac:dyDescent="0.4">
      <c r="AB206" s="4"/>
      <c r="AC206" s="5"/>
    </row>
    <row r="207" spans="28:29" x14ac:dyDescent="0.4">
      <c r="AB207" s="4"/>
      <c r="AC207" s="5"/>
    </row>
    <row r="208" spans="28:29" x14ac:dyDescent="0.4">
      <c r="AB208" s="4"/>
      <c r="AC208" s="5"/>
    </row>
    <row r="209" spans="28:29" x14ac:dyDescent="0.4">
      <c r="AB209" s="4"/>
      <c r="AC209" s="5"/>
    </row>
    <row r="210" spans="28:29" x14ac:dyDescent="0.4">
      <c r="AB210" s="4"/>
      <c r="AC210" s="5"/>
    </row>
    <row r="211" spans="28:29" x14ac:dyDescent="0.4">
      <c r="AB211" s="4"/>
      <c r="AC211" s="5"/>
    </row>
    <row r="212" spans="28:29" x14ac:dyDescent="0.4">
      <c r="AB212" s="4"/>
      <c r="AC212" s="5"/>
    </row>
    <row r="213" spans="28:29" x14ac:dyDescent="0.4">
      <c r="AB213" s="4"/>
      <c r="AC213" s="5"/>
    </row>
    <row r="214" spans="28:29" x14ac:dyDescent="0.4">
      <c r="AB214" s="4"/>
      <c r="AC214" s="5"/>
    </row>
    <row r="215" spans="28:29" x14ac:dyDescent="0.4">
      <c r="AB215" s="4"/>
      <c r="AC215" s="5"/>
    </row>
    <row r="216" spans="28:29" x14ac:dyDescent="0.4">
      <c r="AB216" s="4"/>
      <c r="AC216" s="5"/>
    </row>
    <row r="217" spans="28:29" x14ac:dyDescent="0.4">
      <c r="AB217" s="4"/>
      <c r="AC217" s="5"/>
    </row>
    <row r="218" spans="28:29" x14ac:dyDescent="0.4">
      <c r="AB218" s="4"/>
      <c r="AC218" s="5"/>
    </row>
    <row r="219" spans="28:29" x14ac:dyDescent="0.4">
      <c r="AB219" s="4"/>
      <c r="AC219" s="5"/>
    </row>
    <row r="220" spans="28:29" x14ac:dyDescent="0.4">
      <c r="AB220" s="4"/>
      <c r="AC220" s="5"/>
    </row>
    <row r="221" spans="28:29" x14ac:dyDescent="0.4">
      <c r="AB221" s="4"/>
      <c r="AC221" s="5"/>
    </row>
    <row r="222" spans="28:29" x14ac:dyDescent="0.4">
      <c r="AB222" s="4"/>
      <c r="AC222" s="5"/>
    </row>
    <row r="223" spans="28:29" x14ac:dyDescent="0.4">
      <c r="AB223" s="4"/>
      <c r="AC223" s="5"/>
    </row>
    <row r="224" spans="28:29" x14ac:dyDescent="0.4">
      <c r="AB224" s="4"/>
      <c r="AC224" s="5"/>
    </row>
    <row r="225" spans="28:29" x14ac:dyDescent="0.4">
      <c r="AB225" s="4"/>
      <c r="AC225" s="5"/>
    </row>
    <row r="226" spans="28:29" x14ac:dyDescent="0.4">
      <c r="AB226" s="4"/>
      <c r="AC226" s="5"/>
    </row>
    <row r="227" spans="28:29" x14ac:dyDescent="0.4">
      <c r="AB227" s="4"/>
      <c r="AC227" s="5"/>
    </row>
    <row r="228" spans="28:29" x14ac:dyDescent="0.4">
      <c r="AB228" s="4"/>
      <c r="AC228" s="5"/>
    </row>
    <row r="229" spans="28:29" x14ac:dyDescent="0.4">
      <c r="AB229" s="4"/>
      <c r="AC229" s="5"/>
    </row>
    <row r="230" spans="28:29" x14ac:dyDescent="0.4">
      <c r="AB230" s="4"/>
      <c r="AC230" s="5"/>
    </row>
    <row r="231" spans="28:29" x14ac:dyDescent="0.4">
      <c r="AB231" s="4"/>
      <c r="AC231" s="5"/>
    </row>
    <row r="232" spans="28:29" x14ac:dyDescent="0.4">
      <c r="AB232" s="4"/>
      <c r="AC232" s="5"/>
    </row>
    <row r="233" spans="28:29" x14ac:dyDescent="0.4">
      <c r="AB233" s="4"/>
      <c r="AC233" s="5"/>
    </row>
    <row r="234" spans="28:29" x14ac:dyDescent="0.4">
      <c r="AB234" s="4"/>
      <c r="AC234" s="5"/>
    </row>
    <row r="235" spans="28:29" x14ac:dyDescent="0.4">
      <c r="AB235" s="4"/>
      <c r="AC235" s="5"/>
    </row>
    <row r="236" spans="28:29" x14ac:dyDescent="0.4">
      <c r="AB236" s="4"/>
      <c r="AC236" s="5"/>
    </row>
    <row r="237" spans="28:29" x14ac:dyDescent="0.4">
      <c r="AB237" s="4"/>
      <c r="AC237" s="5"/>
    </row>
    <row r="238" spans="28:29" x14ac:dyDescent="0.4">
      <c r="AB238" s="4"/>
      <c r="AC238" s="5"/>
    </row>
    <row r="239" spans="28:29" x14ac:dyDescent="0.4">
      <c r="AB239" s="4"/>
      <c r="AC239" s="5"/>
    </row>
    <row r="240" spans="28:29" x14ac:dyDescent="0.4">
      <c r="AB240" s="4"/>
      <c r="AC240" s="5"/>
    </row>
    <row r="241" spans="28:29" x14ac:dyDescent="0.4">
      <c r="AB241" s="4"/>
      <c r="AC241" s="5"/>
    </row>
    <row r="242" spans="28:29" x14ac:dyDescent="0.4">
      <c r="AB242" s="4"/>
      <c r="AC242" s="5"/>
    </row>
    <row r="243" spans="28:29" x14ac:dyDescent="0.4">
      <c r="AB243" s="4"/>
      <c r="AC243" s="5"/>
    </row>
    <row r="244" spans="28:29" x14ac:dyDescent="0.4">
      <c r="AB244" s="4"/>
      <c r="AC244" s="5"/>
    </row>
    <row r="245" spans="28:29" x14ac:dyDescent="0.4">
      <c r="AB245" s="4"/>
      <c r="AC245" s="5"/>
    </row>
    <row r="246" spans="28:29" x14ac:dyDescent="0.4">
      <c r="AB246" s="4"/>
      <c r="AC246" s="5"/>
    </row>
    <row r="247" spans="28:29" x14ac:dyDescent="0.4">
      <c r="AB247" s="4"/>
      <c r="AC247" s="5"/>
    </row>
    <row r="248" spans="28:29" x14ac:dyDescent="0.4">
      <c r="AB248" s="4"/>
      <c r="AC248" s="5"/>
    </row>
    <row r="249" spans="28:29" x14ac:dyDescent="0.4">
      <c r="AB249" s="4"/>
      <c r="AC249" s="5"/>
    </row>
    <row r="250" spans="28:29" x14ac:dyDescent="0.4">
      <c r="AB250" s="4"/>
      <c r="AC250" s="5"/>
    </row>
    <row r="251" spans="28:29" x14ac:dyDescent="0.4">
      <c r="AB251" s="4"/>
      <c r="AC251" s="5"/>
    </row>
    <row r="252" spans="28:29" x14ac:dyDescent="0.4">
      <c r="AB252" s="4"/>
      <c r="AC252" s="5"/>
    </row>
    <row r="253" spans="28:29" x14ac:dyDescent="0.4">
      <c r="AB253" s="4"/>
      <c r="AC253" s="5"/>
    </row>
    <row r="254" spans="28:29" x14ac:dyDescent="0.4">
      <c r="AB254" s="4"/>
      <c r="AC254" s="5"/>
    </row>
    <row r="255" spans="28:29" x14ac:dyDescent="0.4">
      <c r="AB255" s="4"/>
      <c r="AC255" s="5"/>
    </row>
    <row r="256" spans="28:29" x14ac:dyDescent="0.4">
      <c r="AB256" s="4"/>
      <c r="AC256" s="5"/>
    </row>
    <row r="257" spans="28:29" x14ac:dyDescent="0.4">
      <c r="AB257" s="4"/>
      <c r="AC257" s="5"/>
    </row>
    <row r="258" spans="28:29" x14ac:dyDescent="0.4">
      <c r="AB258" s="4"/>
      <c r="AC258" s="5"/>
    </row>
    <row r="259" spans="28:29" x14ac:dyDescent="0.4">
      <c r="AB259" s="4"/>
      <c r="AC259" s="5"/>
    </row>
    <row r="260" spans="28:29" x14ac:dyDescent="0.4">
      <c r="AB260" s="4"/>
      <c r="AC260" s="5"/>
    </row>
    <row r="261" spans="28:29" x14ac:dyDescent="0.4">
      <c r="AB261" s="4"/>
      <c r="AC261" s="5"/>
    </row>
    <row r="262" spans="28:29" x14ac:dyDescent="0.4">
      <c r="AB262" s="4"/>
      <c r="AC262" s="5"/>
    </row>
    <row r="263" spans="28:29" x14ac:dyDescent="0.4">
      <c r="AB263" s="4"/>
      <c r="AC263" s="5"/>
    </row>
    <row r="264" spans="28:29" x14ac:dyDescent="0.4">
      <c r="AB264" s="4"/>
      <c r="AC264" s="5"/>
    </row>
    <row r="265" spans="28:29" x14ac:dyDescent="0.4">
      <c r="AB265" s="4"/>
      <c r="AC265" s="5"/>
    </row>
    <row r="266" spans="28:29" x14ac:dyDescent="0.4">
      <c r="AB266" s="4"/>
      <c r="AC266" s="5"/>
    </row>
    <row r="267" spans="28:29" x14ac:dyDescent="0.4">
      <c r="AB267" s="4"/>
      <c r="AC267" s="5"/>
    </row>
    <row r="268" spans="28:29" x14ac:dyDescent="0.4">
      <c r="AB268" s="4"/>
      <c r="AC268" s="5"/>
    </row>
    <row r="269" spans="28:29" x14ac:dyDescent="0.4">
      <c r="AB269" s="4"/>
      <c r="AC269" s="5"/>
    </row>
    <row r="270" spans="28:29" x14ac:dyDescent="0.4">
      <c r="AB270" s="4"/>
      <c r="AC270" s="5"/>
    </row>
    <row r="271" spans="28:29" x14ac:dyDescent="0.4">
      <c r="AB271" s="4"/>
      <c r="AC271" s="5"/>
    </row>
    <row r="272" spans="28:29" x14ac:dyDescent="0.4">
      <c r="AB272" s="4"/>
      <c r="AC272" s="5"/>
    </row>
    <row r="273" spans="28:29" x14ac:dyDescent="0.4">
      <c r="AB273" s="4"/>
      <c r="AC273" s="5"/>
    </row>
    <row r="274" spans="28:29" x14ac:dyDescent="0.4">
      <c r="AB274" s="4"/>
      <c r="AC274" s="5"/>
    </row>
    <row r="275" spans="28:29" x14ac:dyDescent="0.4">
      <c r="AB275" s="4"/>
      <c r="AC275" s="5"/>
    </row>
    <row r="276" spans="28:29" x14ac:dyDescent="0.4">
      <c r="AB276" s="4"/>
      <c r="AC276" s="5"/>
    </row>
    <row r="277" spans="28:29" x14ac:dyDescent="0.4">
      <c r="AB277" s="4"/>
      <c r="AC277" s="5"/>
    </row>
    <row r="278" spans="28:29" x14ac:dyDescent="0.4">
      <c r="AB278" s="4"/>
      <c r="AC278" s="5"/>
    </row>
    <row r="279" spans="28:29" x14ac:dyDescent="0.4">
      <c r="AB279" s="4"/>
      <c r="AC279" s="5"/>
    </row>
    <row r="280" spans="28:29" x14ac:dyDescent="0.4">
      <c r="AB280" s="4"/>
      <c r="AC280" s="5"/>
    </row>
    <row r="281" spans="28:29" x14ac:dyDescent="0.4">
      <c r="AB281" s="4"/>
      <c r="AC281" s="5"/>
    </row>
    <row r="282" spans="28:29" x14ac:dyDescent="0.4">
      <c r="AB282" s="4"/>
      <c r="AC282" s="39"/>
    </row>
    <row r="283" spans="28:29" x14ac:dyDescent="0.4">
      <c r="AB283" s="4"/>
      <c r="AC283" s="39"/>
    </row>
    <row r="284" spans="28:29" x14ac:dyDescent="0.4">
      <c r="AB284" s="4"/>
      <c r="AC284" s="39"/>
    </row>
    <row r="285" spans="28:29" x14ac:dyDescent="0.4">
      <c r="AB285" s="39"/>
      <c r="AC285" s="39"/>
    </row>
    <row r="286" spans="28:29" x14ac:dyDescent="0.4">
      <c r="AB286" s="39"/>
      <c r="AC286" s="39"/>
    </row>
    <row r="287" spans="28:29" x14ac:dyDescent="0.4">
      <c r="AB287" s="39"/>
      <c r="AC287" s="39"/>
    </row>
  </sheetData>
  <mergeCells count="3">
    <mergeCell ref="A1:AC1"/>
    <mergeCell ref="A2:AC2"/>
    <mergeCell ref="A3:AC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287"/>
  <sheetViews>
    <sheetView topLeftCell="L10" workbookViewId="0">
      <selection activeCell="Z33" sqref="Z33"/>
    </sheetView>
  </sheetViews>
  <sheetFormatPr defaultColWidth="9.15234375" defaultRowHeight="14.6" x14ac:dyDescent="0.4"/>
  <cols>
    <col min="1" max="1" width="0" style="2" hidden="1" customWidth="1"/>
    <col min="2" max="2" width="25.84375" style="2" bestFit="1" customWidth="1"/>
    <col min="3" max="4" width="9.15234375" style="2"/>
    <col min="5" max="5" width="2.69140625" style="2" customWidth="1"/>
    <col min="6" max="18" width="9.15234375" style="2" customWidth="1"/>
    <col min="19" max="19" width="2.69140625" style="37" customWidth="1"/>
    <col min="20" max="20" width="8" style="37" bestFit="1" customWidth="1"/>
    <col min="21" max="25" width="8" style="37" customWidth="1"/>
    <col min="26" max="26" width="9.15234375" style="2"/>
    <col min="27" max="27" width="2.53515625" style="2" customWidth="1"/>
    <col min="28" max="28" width="9.15234375" style="2" bestFit="1" customWidth="1"/>
    <col min="29" max="29" width="9.53515625" style="2" bestFit="1" customWidth="1"/>
    <col min="30" max="16384" width="9.15234375" style="2"/>
  </cols>
  <sheetData>
    <row r="1" spans="1:30" x14ac:dyDescent="0.4">
      <c r="A1" s="293" t="s">
        <v>232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  <c r="R1" s="293"/>
      <c r="S1" s="293"/>
      <c r="T1" s="293"/>
      <c r="U1" s="293"/>
      <c r="V1" s="293"/>
      <c r="W1" s="293"/>
      <c r="X1" s="293"/>
      <c r="Y1" s="293"/>
      <c r="Z1" s="293"/>
      <c r="AA1" s="293"/>
      <c r="AB1" s="293"/>
      <c r="AC1" s="293"/>
    </row>
    <row r="2" spans="1:30" ht="15" customHeight="1" x14ac:dyDescent="0.4">
      <c r="A2" s="293" t="s">
        <v>0</v>
      </c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  <c r="V2" s="293"/>
      <c r="W2" s="293"/>
      <c r="X2" s="293"/>
      <c r="Y2" s="293"/>
      <c r="Z2" s="293"/>
      <c r="AA2" s="293"/>
      <c r="AB2" s="293"/>
      <c r="AC2" s="293"/>
    </row>
    <row r="3" spans="1:30" ht="15" customHeight="1" x14ac:dyDescent="0.4">
      <c r="A3" s="293" t="s">
        <v>248</v>
      </c>
      <c r="B3" s="293"/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/>
      <c r="Q3" s="293"/>
      <c r="R3" s="293"/>
      <c r="S3" s="293"/>
      <c r="T3" s="293"/>
      <c r="U3" s="293"/>
      <c r="V3" s="293"/>
      <c r="W3" s="293"/>
      <c r="X3" s="293"/>
      <c r="Y3" s="293"/>
      <c r="Z3" s="293"/>
      <c r="AA3" s="293"/>
      <c r="AB3" s="293"/>
      <c r="AC3" s="293"/>
    </row>
    <row r="4" spans="1:30" ht="15" customHeight="1" x14ac:dyDescent="0.4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2"/>
      <c r="T4" s="82"/>
      <c r="U4" s="82"/>
      <c r="V4" s="82"/>
      <c r="W4" s="82"/>
      <c r="X4" s="82"/>
      <c r="Y4" s="82"/>
    </row>
    <row r="5" spans="1:30" x14ac:dyDescent="0.4">
      <c r="A5" s="83" t="s">
        <v>1</v>
      </c>
      <c r="B5" s="84" t="s">
        <v>2</v>
      </c>
      <c r="C5" s="84" t="s">
        <v>235</v>
      </c>
      <c r="D5" s="84" t="s">
        <v>3</v>
      </c>
      <c r="E5" s="85"/>
      <c r="F5" s="84" t="s">
        <v>4</v>
      </c>
      <c r="G5" s="84" t="s">
        <v>5</v>
      </c>
      <c r="H5" s="84" t="s">
        <v>6</v>
      </c>
      <c r="I5" s="84" t="s">
        <v>7</v>
      </c>
      <c r="J5" s="84" t="s">
        <v>8</v>
      </c>
      <c r="K5" s="84" t="s">
        <v>9</v>
      </c>
      <c r="L5" s="84" t="s">
        <v>10</v>
      </c>
      <c r="M5" s="84" t="s">
        <v>11</v>
      </c>
      <c r="N5" s="84" t="s">
        <v>12</v>
      </c>
      <c r="O5" s="84" t="s">
        <v>13</v>
      </c>
      <c r="P5" s="84" t="s">
        <v>14</v>
      </c>
      <c r="Q5" s="84" t="s">
        <v>15</v>
      </c>
      <c r="R5" s="84" t="s">
        <v>242</v>
      </c>
      <c r="S5" s="86"/>
      <c r="T5" s="154" t="s">
        <v>16</v>
      </c>
      <c r="U5" s="154" t="s">
        <v>244</v>
      </c>
      <c r="V5" s="154" t="s">
        <v>245</v>
      </c>
      <c r="W5" s="154" t="s">
        <v>246</v>
      </c>
      <c r="X5" s="154" t="s">
        <v>247</v>
      </c>
      <c r="Y5" s="154" t="s">
        <v>249</v>
      </c>
      <c r="Z5" s="154" t="s">
        <v>17</v>
      </c>
      <c r="AA5" s="86"/>
      <c r="AB5" s="195" t="s">
        <v>238</v>
      </c>
      <c r="AC5" s="29" t="s">
        <v>240</v>
      </c>
      <c r="AD5" s="29" t="s">
        <v>239</v>
      </c>
    </row>
    <row r="6" spans="1:30" x14ac:dyDescent="0.4">
      <c r="A6" s="87"/>
      <c r="B6" s="88" t="s">
        <v>18</v>
      </c>
      <c r="C6" s="89"/>
      <c r="D6" s="89"/>
      <c r="E6" s="90" t="s">
        <v>19</v>
      </c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91"/>
      <c r="T6" s="155"/>
      <c r="U6" s="155"/>
      <c r="V6" s="155"/>
      <c r="W6" s="155"/>
      <c r="X6" s="155"/>
      <c r="Y6" s="155"/>
      <c r="Z6" s="155"/>
      <c r="AA6" s="89"/>
    </row>
    <row r="7" spans="1:30" x14ac:dyDescent="0.4">
      <c r="A7" s="87"/>
      <c r="B7" s="88" t="s">
        <v>20</v>
      </c>
      <c r="C7" s="89"/>
      <c r="D7" s="89"/>
      <c r="E7" s="90" t="s">
        <v>19</v>
      </c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91"/>
      <c r="T7" s="155"/>
      <c r="U7" s="155"/>
      <c r="V7" s="155"/>
      <c r="W7" s="155"/>
      <c r="X7" s="155"/>
      <c r="Y7" s="155"/>
      <c r="Z7" s="155"/>
      <c r="AA7" s="89"/>
    </row>
    <row r="8" spans="1:30" x14ac:dyDescent="0.4">
      <c r="A8" s="87" t="s">
        <v>21</v>
      </c>
      <c r="B8" s="179" t="s">
        <v>22</v>
      </c>
      <c r="C8" s="156">
        <v>1219102.53</v>
      </c>
      <c r="D8" s="156">
        <v>101591.8775</v>
      </c>
      <c r="E8" s="200" t="s">
        <v>19</v>
      </c>
      <c r="F8" s="156">
        <v>57197.98</v>
      </c>
      <c r="G8" s="156">
        <v>104104.11</v>
      </c>
      <c r="H8" s="156">
        <v>175740.19</v>
      </c>
      <c r="I8" s="156">
        <v>67380.58</v>
      </c>
      <c r="J8" s="156">
        <v>167925.15</v>
      </c>
      <c r="K8" s="156">
        <v>94858.05</v>
      </c>
      <c r="L8" s="156">
        <v>70911.039999999994</v>
      </c>
      <c r="M8" s="156">
        <v>197019.69</v>
      </c>
      <c r="N8" s="156">
        <v>111308.95</v>
      </c>
      <c r="O8" s="156">
        <v>116972.69</v>
      </c>
      <c r="P8" s="156">
        <v>60519.27</v>
      </c>
      <c r="Q8" s="156">
        <v>108748.45</v>
      </c>
      <c r="R8" s="156">
        <v>1332686.1499999999</v>
      </c>
      <c r="S8" s="15"/>
      <c r="T8" s="156">
        <v>93116.57</v>
      </c>
      <c r="U8" s="156">
        <v>70692.639999999999</v>
      </c>
      <c r="V8" s="156">
        <v>122088.26</v>
      </c>
      <c r="W8" s="156">
        <v>116353.74</v>
      </c>
      <c r="X8" s="156">
        <v>73220.649999999994</v>
      </c>
      <c r="Y8" s="156">
        <v>111130.67</v>
      </c>
      <c r="Z8" s="156">
        <v>586602.53</v>
      </c>
      <c r="AA8" s="16"/>
      <c r="AB8" s="210">
        <f>SUM(F8:K8)</f>
        <v>667206.06000000006</v>
      </c>
      <c r="AC8" s="224">
        <f>+Z8-AB8</f>
        <v>-80603.530000000028</v>
      </c>
      <c r="AD8" s="8">
        <f>+AC8/AB8</f>
        <v>-0.12080755081870813</v>
      </c>
    </row>
    <row r="9" spans="1:30" x14ac:dyDescent="0.4">
      <c r="A9" s="87" t="s">
        <v>27</v>
      </c>
      <c r="B9" s="179" t="s">
        <v>28</v>
      </c>
      <c r="C9" s="156">
        <v>213949.06</v>
      </c>
      <c r="D9" s="156">
        <v>17829.088333333333</v>
      </c>
      <c r="E9" s="200" t="s">
        <v>19</v>
      </c>
      <c r="F9" s="155"/>
      <c r="G9" s="155"/>
      <c r="H9" s="155"/>
      <c r="I9" s="155"/>
      <c r="J9" s="155"/>
      <c r="K9" s="155"/>
      <c r="L9" s="156">
        <v>5300</v>
      </c>
      <c r="M9" s="156">
        <v>5300</v>
      </c>
      <c r="N9" s="155"/>
      <c r="O9" s="155"/>
      <c r="P9" s="155"/>
      <c r="Q9" s="155"/>
      <c r="R9" s="156">
        <v>10600</v>
      </c>
      <c r="S9" s="15"/>
      <c r="T9" s="155"/>
      <c r="U9" s="155"/>
      <c r="V9" s="155"/>
      <c r="W9" s="155"/>
      <c r="X9" s="155"/>
      <c r="Y9" s="155"/>
      <c r="Z9" s="155"/>
      <c r="AA9" s="16"/>
      <c r="AB9" s="210">
        <f>SUM(F9:K9)</f>
        <v>0</v>
      </c>
      <c r="AC9" s="224">
        <f t="shared" ref="AC9:AC12" si="0">+Z9-AB9</f>
        <v>0</v>
      </c>
      <c r="AD9" s="8" t="e">
        <f t="shared" ref="AD9:AD12" si="1">+AC9/AB9</f>
        <v>#DIV/0!</v>
      </c>
    </row>
    <row r="10" spans="1:30" x14ac:dyDescent="0.4">
      <c r="A10" s="87" t="s">
        <v>29</v>
      </c>
      <c r="B10" s="179" t="s">
        <v>30</v>
      </c>
      <c r="C10" s="156">
        <v>70947.100000000006</v>
      </c>
      <c r="D10" s="156">
        <v>5912.2583333333332</v>
      </c>
      <c r="E10" s="200" t="s">
        <v>19</v>
      </c>
      <c r="F10" s="155"/>
      <c r="G10" s="155"/>
      <c r="H10" s="156"/>
      <c r="I10" s="155"/>
      <c r="J10" s="155"/>
      <c r="K10" s="155"/>
      <c r="L10" s="155"/>
      <c r="M10" s="155"/>
      <c r="N10" s="155"/>
      <c r="O10" s="155"/>
      <c r="P10" s="155"/>
      <c r="Q10" s="155"/>
      <c r="R10" s="156"/>
      <c r="S10" s="91"/>
      <c r="T10" s="155"/>
      <c r="U10" s="155"/>
      <c r="V10" s="155"/>
      <c r="W10" s="155"/>
      <c r="X10" s="155"/>
      <c r="Y10" s="155"/>
      <c r="Z10" s="155"/>
      <c r="AA10" s="89"/>
      <c r="AB10" s="210">
        <f>SUM(F10:K10)</f>
        <v>0</v>
      </c>
      <c r="AC10" s="224">
        <f t="shared" si="0"/>
        <v>0</v>
      </c>
      <c r="AD10" s="8" t="e">
        <f t="shared" si="1"/>
        <v>#DIV/0!</v>
      </c>
    </row>
    <row r="11" spans="1:30" x14ac:dyDescent="0.4">
      <c r="A11" s="87" t="s">
        <v>36</v>
      </c>
      <c r="B11" s="179" t="s">
        <v>37</v>
      </c>
      <c r="C11" s="156">
        <v>481.34</v>
      </c>
      <c r="D11" s="156">
        <v>40.1116666666667</v>
      </c>
      <c r="E11" s="200" t="s">
        <v>19</v>
      </c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"/>
      <c r="T11" s="155"/>
      <c r="U11" s="155"/>
      <c r="V11" s="155"/>
      <c r="W11" s="155"/>
      <c r="X11" s="155"/>
      <c r="Y11" s="155"/>
      <c r="Z11" s="155"/>
      <c r="AA11" s="89"/>
      <c r="AB11" s="210">
        <f>SUM(F11:K11)</f>
        <v>0</v>
      </c>
      <c r="AC11" s="224">
        <f t="shared" si="0"/>
        <v>0</v>
      </c>
      <c r="AD11" s="8" t="e">
        <f t="shared" si="1"/>
        <v>#DIV/0!</v>
      </c>
    </row>
    <row r="12" spans="1:30" x14ac:dyDescent="0.4">
      <c r="A12" s="87" t="s">
        <v>52</v>
      </c>
      <c r="B12" s="179" t="s">
        <v>53</v>
      </c>
      <c r="C12" s="158">
        <v>0.02</v>
      </c>
      <c r="D12" s="158">
        <v>1.6666666666999999E-3</v>
      </c>
      <c r="E12" s="200" t="s">
        <v>19</v>
      </c>
      <c r="F12" s="157"/>
      <c r="G12" s="157"/>
      <c r="H12" s="157"/>
      <c r="I12" s="157"/>
      <c r="J12" s="157"/>
      <c r="K12" s="157"/>
      <c r="L12" s="157"/>
      <c r="M12" s="157"/>
      <c r="N12" s="157"/>
      <c r="O12" s="157"/>
      <c r="P12" s="157"/>
      <c r="Q12" s="157"/>
      <c r="R12" s="157"/>
      <c r="S12" s="91"/>
      <c r="T12" s="157"/>
      <c r="U12" s="157"/>
      <c r="V12" s="157"/>
      <c r="W12" s="158">
        <v>93946.23</v>
      </c>
      <c r="X12" s="157"/>
      <c r="Y12" s="157"/>
      <c r="Z12" s="158">
        <v>93946.23</v>
      </c>
      <c r="AA12" s="15"/>
      <c r="AB12" s="213">
        <f>SUM(F12:K12)</f>
        <v>0</v>
      </c>
      <c r="AC12" s="11">
        <f t="shared" si="0"/>
        <v>93946.23</v>
      </c>
      <c r="AD12" s="12" t="e">
        <f t="shared" si="1"/>
        <v>#DIV/0!</v>
      </c>
    </row>
    <row r="13" spans="1:30" x14ac:dyDescent="0.4">
      <c r="A13" s="87"/>
      <c r="B13" s="179" t="s">
        <v>54</v>
      </c>
      <c r="C13" s="158">
        <v>1504480.05</v>
      </c>
      <c r="D13" s="158">
        <v>125373.33749999999</v>
      </c>
      <c r="E13" s="200" t="s">
        <v>19</v>
      </c>
      <c r="F13" s="158">
        <v>57197.98</v>
      </c>
      <c r="G13" s="158">
        <v>104104.11</v>
      </c>
      <c r="H13" s="158">
        <v>175740.19</v>
      </c>
      <c r="I13" s="158">
        <v>67380.58</v>
      </c>
      <c r="J13" s="158">
        <v>167925.15</v>
      </c>
      <c r="K13" s="158">
        <v>94858.05</v>
      </c>
      <c r="L13" s="158">
        <v>76211.039999999994</v>
      </c>
      <c r="M13" s="158">
        <v>202319.69</v>
      </c>
      <c r="N13" s="158">
        <v>111308.95</v>
      </c>
      <c r="O13" s="158">
        <v>116972.69</v>
      </c>
      <c r="P13" s="158">
        <v>60519.27</v>
      </c>
      <c r="Q13" s="158">
        <v>108748.45</v>
      </c>
      <c r="R13" s="158">
        <v>1343286.15</v>
      </c>
      <c r="S13" s="15"/>
      <c r="T13" s="158">
        <v>93116.57</v>
      </c>
      <c r="U13" s="158">
        <v>70692.639999999999</v>
      </c>
      <c r="V13" s="158">
        <v>122088.26</v>
      </c>
      <c r="W13" s="158">
        <v>210299.97</v>
      </c>
      <c r="X13" s="158">
        <v>73220.649999999994</v>
      </c>
      <c r="Y13" s="158">
        <v>111130.67</v>
      </c>
      <c r="Z13" s="158">
        <v>680548.76</v>
      </c>
      <c r="AA13" s="89"/>
      <c r="AB13" s="158">
        <f>SUM(AB8:AB12)</f>
        <v>667206.06000000006</v>
      </c>
      <c r="AC13" s="158">
        <f>SUM(AC8:AC12)</f>
        <v>13342.699999999968</v>
      </c>
      <c r="AD13" s="12">
        <f t="shared" ref="AD13:AD16" si="2">+AC13/AB13</f>
        <v>1.9997869923423606E-2</v>
      </c>
    </row>
    <row r="14" spans="1:30" x14ac:dyDescent="0.4">
      <c r="A14" s="87"/>
      <c r="B14" s="179"/>
      <c r="C14" s="155"/>
      <c r="D14" s="155"/>
      <c r="E14" s="200" t="s">
        <v>19</v>
      </c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"/>
      <c r="T14" s="155"/>
      <c r="U14" s="155"/>
      <c r="V14" s="155"/>
      <c r="W14" s="155"/>
      <c r="X14" s="155"/>
      <c r="Y14" s="155"/>
      <c r="Z14" s="155"/>
      <c r="AA14" s="89"/>
      <c r="AB14" s="155"/>
      <c r="AC14" s="4"/>
      <c r="AD14" s="5"/>
    </row>
    <row r="15" spans="1:30" x14ac:dyDescent="0.4">
      <c r="A15" s="87"/>
      <c r="B15" s="179" t="s">
        <v>55</v>
      </c>
      <c r="C15" s="155"/>
      <c r="D15" s="155"/>
      <c r="E15" s="200" t="s">
        <v>19</v>
      </c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91"/>
      <c r="T15" s="155"/>
      <c r="U15" s="155"/>
      <c r="V15" s="155"/>
      <c r="W15" s="155"/>
      <c r="X15" s="155"/>
      <c r="Y15" s="155"/>
      <c r="Z15" s="155"/>
      <c r="AA15" s="16"/>
      <c r="AB15" s="155"/>
      <c r="AC15" s="4"/>
      <c r="AD15" s="5"/>
    </row>
    <row r="16" spans="1:30" x14ac:dyDescent="0.4">
      <c r="A16" s="87"/>
      <c r="B16" s="179" t="s">
        <v>56</v>
      </c>
      <c r="C16" s="156">
        <v>728030.12</v>
      </c>
      <c r="D16" s="156">
        <v>60669.176666666666</v>
      </c>
      <c r="E16" s="200" t="s">
        <v>19</v>
      </c>
      <c r="F16" s="156">
        <v>45629</v>
      </c>
      <c r="G16" s="156">
        <v>53433.91</v>
      </c>
      <c r="H16" s="156">
        <v>54859.51</v>
      </c>
      <c r="I16" s="156">
        <v>55729.79</v>
      </c>
      <c r="J16" s="156">
        <v>55303.27</v>
      </c>
      <c r="K16" s="156">
        <v>54234.77</v>
      </c>
      <c r="L16" s="156">
        <v>53591.65</v>
      </c>
      <c r="M16" s="156">
        <v>53226.99</v>
      </c>
      <c r="N16" s="156">
        <v>52383.02</v>
      </c>
      <c r="O16" s="156">
        <v>46887.43</v>
      </c>
      <c r="P16" s="156">
        <v>45485.87</v>
      </c>
      <c r="Q16" s="156">
        <v>45353.66</v>
      </c>
      <c r="R16" s="156">
        <v>616118.87</v>
      </c>
      <c r="S16" s="91"/>
      <c r="T16" s="156">
        <v>45722.27</v>
      </c>
      <c r="U16" s="156">
        <v>54074.18</v>
      </c>
      <c r="V16" s="156">
        <v>50996.62</v>
      </c>
      <c r="W16" s="156">
        <v>51813.33</v>
      </c>
      <c r="X16" s="156">
        <v>50936.69</v>
      </c>
      <c r="Y16" s="156">
        <v>48644.26</v>
      </c>
      <c r="Z16" s="156">
        <v>302187.34999999998</v>
      </c>
      <c r="AA16" s="16"/>
      <c r="AB16" s="210">
        <f t="shared" ref="AB16:AB21" si="3">SUM(F16:K16)</f>
        <v>319190.25000000006</v>
      </c>
      <c r="AC16" s="224">
        <f>+Z16-AB16</f>
        <v>-17002.900000000081</v>
      </c>
      <c r="AD16" s="8">
        <f t="shared" si="2"/>
        <v>-5.3268857679706939E-2</v>
      </c>
    </row>
    <row r="17" spans="1:30" x14ac:dyDescent="0.4">
      <c r="A17" s="87"/>
      <c r="B17" s="179" t="s">
        <v>57</v>
      </c>
      <c r="C17" s="156">
        <v>89968.73</v>
      </c>
      <c r="D17" s="156">
        <v>7497.3941666666669</v>
      </c>
      <c r="E17" s="200" t="s">
        <v>19</v>
      </c>
      <c r="F17" s="156">
        <v>750</v>
      </c>
      <c r="G17" s="156"/>
      <c r="H17" s="156"/>
      <c r="I17" s="156"/>
      <c r="J17" s="156"/>
      <c r="K17" s="156"/>
      <c r="L17" s="156"/>
      <c r="M17" s="156"/>
      <c r="N17" s="156"/>
      <c r="O17" s="156"/>
      <c r="P17" s="156"/>
      <c r="Q17" s="156"/>
      <c r="R17" s="156">
        <v>750</v>
      </c>
      <c r="S17" s="15"/>
      <c r="T17" s="156"/>
      <c r="U17" s="156"/>
      <c r="V17" s="156"/>
      <c r="W17" s="156"/>
      <c r="X17" s="156"/>
      <c r="Y17" s="156"/>
      <c r="Z17" s="156"/>
      <c r="AA17" s="16"/>
      <c r="AB17" s="210">
        <f t="shared" si="3"/>
        <v>750</v>
      </c>
      <c r="AC17" s="224">
        <f t="shared" ref="AC17:AC21" si="4">+Z17-AB17</f>
        <v>-750</v>
      </c>
      <c r="AD17" s="8">
        <f t="shared" ref="AD17:AD21" si="5">+AC17/AB17</f>
        <v>-1</v>
      </c>
    </row>
    <row r="18" spans="1:30" x14ac:dyDescent="0.4">
      <c r="A18" s="87"/>
      <c r="B18" s="179" t="s">
        <v>58</v>
      </c>
      <c r="C18" s="156">
        <v>377800.54</v>
      </c>
      <c r="D18" s="156">
        <v>31483.378333333334</v>
      </c>
      <c r="E18" s="200" t="s">
        <v>19</v>
      </c>
      <c r="F18" s="156">
        <v>16369.23</v>
      </c>
      <c r="G18" s="156">
        <v>21848.66</v>
      </c>
      <c r="H18" s="156">
        <v>14652.4</v>
      </c>
      <c r="I18" s="156">
        <v>53824.160000000003</v>
      </c>
      <c r="J18" s="156">
        <v>48029.74</v>
      </c>
      <c r="K18" s="156">
        <v>30064.48</v>
      </c>
      <c r="L18" s="156">
        <v>27887.96</v>
      </c>
      <c r="M18" s="156">
        <v>30235.07</v>
      </c>
      <c r="N18" s="156">
        <v>42229.19</v>
      </c>
      <c r="O18" s="156">
        <v>35377.08</v>
      </c>
      <c r="P18" s="156">
        <v>33056.230000000003</v>
      </c>
      <c r="Q18" s="156">
        <v>26820.959999999999</v>
      </c>
      <c r="R18" s="156">
        <v>380395.16</v>
      </c>
      <c r="S18" s="15"/>
      <c r="T18" s="156">
        <v>31168.69</v>
      </c>
      <c r="U18" s="156">
        <v>20573.78</v>
      </c>
      <c r="V18" s="156">
        <v>30305.61</v>
      </c>
      <c r="W18" s="156">
        <v>31534.81</v>
      </c>
      <c r="X18" s="156">
        <v>41339.980000000003</v>
      </c>
      <c r="Y18" s="156">
        <v>39350.949999999997</v>
      </c>
      <c r="Z18" s="156">
        <v>194273.82</v>
      </c>
      <c r="AA18" s="16"/>
      <c r="AB18" s="210">
        <f t="shared" si="3"/>
        <v>184788.67</v>
      </c>
      <c r="AC18" s="224">
        <f t="shared" si="4"/>
        <v>9485.1499999999942</v>
      </c>
      <c r="AD18" s="8">
        <f t="shared" si="5"/>
        <v>5.1329716264530686E-2</v>
      </c>
    </row>
    <row r="19" spans="1:30" x14ac:dyDescent="0.4">
      <c r="A19" s="87"/>
      <c r="B19" s="179" t="s">
        <v>59</v>
      </c>
      <c r="C19" s="156">
        <v>215856.88</v>
      </c>
      <c r="D19" s="156">
        <v>17988.073333333334</v>
      </c>
      <c r="E19" s="200" t="s">
        <v>19</v>
      </c>
      <c r="F19" s="156">
        <v>14558.28</v>
      </c>
      <c r="G19" s="156">
        <v>14275.94</v>
      </c>
      <c r="H19" s="156">
        <v>18576.689999999999</v>
      </c>
      <c r="I19" s="156">
        <v>16393.28</v>
      </c>
      <c r="J19" s="156">
        <v>19149.38</v>
      </c>
      <c r="K19" s="156">
        <v>13593.15</v>
      </c>
      <c r="L19" s="156">
        <v>-1469.16</v>
      </c>
      <c r="M19" s="156">
        <v>30851.360000000001</v>
      </c>
      <c r="N19" s="156">
        <v>13326.68</v>
      </c>
      <c r="O19" s="156">
        <v>34235.129999999997</v>
      </c>
      <c r="P19" s="156">
        <v>480.83</v>
      </c>
      <c r="Q19" s="156">
        <v>14473.32</v>
      </c>
      <c r="R19" s="156">
        <v>188444.88</v>
      </c>
      <c r="S19" s="15"/>
      <c r="T19" s="156">
        <v>17372.3</v>
      </c>
      <c r="U19" s="156">
        <v>17088.36</v>
      </c>
      <c r="V19" s="156">
        <v>17253.73</v>
      </c>
      <c r="W19" s="156">
        <v>21834.12</v>
      </c>
      <c r="X19" s="156">
        <v>22393.17</v>
      </c>
      <c r="Y19" s="156">
        <v>34208.53</v>
      </c>
      <c r="Z19" s="156">
        <v>130150.21</v>
      </c>
      <c r="AA19" s="16"/>
      <c r="AB19" s="210">
        <f t="shared" si="3"/>
        <v>96546.72</v>
      </c>
      <c r="AC19" s="224">
        <f t="shared" si="4"/>
        <v>33603.490000000005</v>
      </c>
      <c r="AD19" s="8">
        <f t="shared" si="5"/>
        <v>0.34805418557978979</v>
      </c>
    </row>
    <row r="20" spans="1:30" x14ac:dyDescent="0.4">
      <c r="A20" s="87"/>
      <c r="B20" s="179" t="s">
        <v>60</v>
      </c>
      <c r="C20" s="156">
        <v>176742.16</v>
      </c>
      <c r="D20" s="156">
        <v>14728.513333333332</v>
      </c>
      <c r="E20" s="200" t="s">
        <v>19</v>
      </c>
      <c r="F20" s="156">
        <v>8158.7</v>
      </c>
      <c r="G20" s="156">
        <v>13424.26</v>
      </c>
      <c r="H20" s="156">
        <v>5046.2700000000004</v>
      </c>
      <c r="I20" s="156">
        <v>15491.08</v>
      </c>
      <c r="J20" s="156">
        <v>25667.48</v>
      </c>
      <c r="K20" s="156">
        <v>2019.59</v>
      </c>
      <c r="L20" s="156">
        <v>3283.59</v>
      </c>
      <c r="M20" s="156">
        <v>29768.43</v>
      </c>
      <c r="N20" s="156">
        <v>14624.66</v>
      </c>
      <c r="O20" s="156">
        <v>37707.29</v>
      </c>
      <c r="P20" s="156">
        <v>19679.669999999998</v>
      </c>
      <c r="Q20" s="156">
        <v>17623.46</v>
      </c>
      <c r="R20" s="156">
        <v>192494.48</v>
      </c>
      <c r="S20" s="15"/>
      <c r="T20" s="156">
        <v>11529.77</v>
      </c>
      <c r="U20" s="156">
        <v>11991.75</v>
      </c>
      <c r="V20" s="156">
        <v>23530.52</v>
      </c>
      <c r="W20" s="156">
        <v>9343.34</v>
      </c>
      <c r="X20" s="156">
        <v>6161.2</v>
      </c>
      <c r="Y20" s="156">
        <v>8932.0300000000007</v>
      </c>
      <c r="Z20" s="156">
        <v>71488.61</v>
      </c>
      <c r="AA20" s="15"/>
      <c r="AB20" s="210">
        <f t="shared" si="3"/>
        <v>69807.37999999999</v>
      </c>
      <c r="AC20" s="224">
        <f t="shared" si="4"/>
        <v>1681.2300000000105</v>
      </c>
      <c r="AD20" s="8">
        <f t="shared" si="5"/>
        <v>2.4083843284191594E-2</v>
      </c>
    </row>
    <row r="21" spans="1:30" x14ac:dyDescent="0.4">
      <c r="A21" s="87"/>
      <c r="B21" s="179" t="s">
        <v>61</v>
      </c>
      <c r="C21" s="158">
        <v>28255.09</v>
      </c>
      <c r="D21" s="158">
        <v>2354.5908333333332</v>
      </c>
      <c r="E21" s="200" t="s">
        <v>19</v>
      </c>
      <c r="F21" s="158">
        <v>389</v>
      </c>
      <c r="G21" s="158">
        <v>1711</v>
      </c>
      <c r="H21" s="158">
        <v>6143.3</v>
      </c>
      <c r="I21" s="158">
        <v>3682.96</v>
      </c>
      <c r="J21" s="158">
        <v>2428.2199999999998</v>
      </c>
      <c r="K21" s="158">
        <v>929.28</v>
      </c>
      <c r="L21" s="158">
        <v>294.44</v>
      </c>
      <c r="M21" s="158">
        <v>6597.89</v>
      </c>
      <c r="N21" s="158">
        <v>117.09</v>
      </c>
      <c r="O21" s="158">
        <v>1114.5</v>
      </c>
      <c r="P21" s="158">
        <v>37.97</v>
      </c>
      <c r="Q21" s="158">
        <v>1374.97</v>
      </c>
      <c r="R21" s="158">
        <v>24820.62</v>
      </c>
      <c r="S21" s="15"/>
      <c r="T21" s="158">
        <v>121.18</v>
      </c>
      <c r="U21" s="158"/>
      <c r="V21" s="158">
        <v>127.78</v>
      </c>
      <c r="W21" s="158">
        <v>98.5</v>
      </c>
      <c r="X21" s="158"/>
      <c r="Y21" s="158">
        <v>69.3</v>
      </c>
      <c r="Z21" s="158">
        <v>416.76</v>
      </c>
      <c r="AA21" s="15"/>
      <c r="AB21" s="213">
        <f t="shared" si="3"/>
        <v>15283.759999999998</v>
      </c>
      <c r="AC21" s="11">
        <f t="shared" si="4"/>
        <v>-14866.999999999998</v>
      </c>
      <c r="AD21" s="12">
        <f t="shared" si="5"/>
        <v>-0.97273184085591502</v>
      </c>
    </row>
    <row r="22" spans="1:30" x14ac:dyDescent="0.4">
      <c r="A22" s="87"/>
      <c r="B22" s="179" t="s">
        <v>62</v>
      </c>
      <c r="C22" s="158">
        <v>1616653.52</v>
      </c>
      <c r="D22" s="158">
        <v>134721.12666666668</v>
      </c>
      <c r="E22" s="200" t="s">
        <v>19</v>
      </c>
      <c r="F22" s="158">
        <v>85854.21</v>
      </c>
      <c r="G22" s="158">
        <v>104693.77</v>
      </c>
      <c r="H22" s="158">
        <v>99278.17</v>
      </c>
      <c r="I22" s="158">
        <v>145121.26999999999</v>
      </c>
      <c r="J22" s="158">
        <v>150578.09</v>
      </c>
      <c r="K22" s="158">
        <v>100841.27</v>
      </c>
      <c r="L22" s="158">
        <v>83588.479999999996</v>
      </c>
      <c r="M22" s="158">
        <v>150679.74</v>
      </c>
      <c r="N22" s="158">
        <v>122680.64</v>
      </c>
      <c r="O22" s="158">
        <v>155321.43</v>
      </c>
      <c r="P22" s="158">
        <v>98740.57</v>
      </c>
      <c r="Q22" s="158">
        <v>105646.37</v>
      </c>
      <c r="R22" s="158">
        <v>1403024.01</v>
      </c>
      <c r="S22" s="15"/>
      <c r="T22" s="158">
        <v>105914.21</v>
      </c>
      <c r="U22" s="158">
        <v>103728.07</v>
      </c>
      <c r="V22" s="158">
        <v>122214.26</v>
      </c>
      <c r="W22" s="158">
        <v>114624.1</v>
      </c>
      <c r="X22" s="158">
        <v>120831.03999999999</v>
      </c>
      <c r="Y22" s="158">
        <v>131205.07</v>
      </c>
      <c r="Z22" s="158">
        <v>698516.75</v>
      </c>
      <c r="AA22" s="89"/>
      <c r="AB22" s="158">
        <f>SUM(AB16:AB21)</f>
        <v>686366.78</v>
      </c>
      <c r="AC22" s="158">
        <f>SUM(AC16:AC21)</f>
        <v>12149.96999999993</v>
      </c>
      <c r="AD22" s="12">
        <f t="shared" ref="AD22:AD77" si="6">+AC22/AB22</f>
        <v>1.7701861969485075E-2</v>
      </c>
    </row>
    <row r="23" spans="1:30" s="37" customFormat="1" x14ac:dyDescent="0.4">
      <c r="A23" s="92"/>
      <c r="B23" s="179"/>
      <c r="C23" s="155"/>
      <c r="D23" s="155"/>
      <c r="E23" s="200" t="s">
        <v>19</v>
      </c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P23" s="155"/>
      <c r="Q23" s="155"/>
      <c r="R23" s="155"/>
      <c r="S23" s="91"/>
      <c r="T23" s="155"/>
      <c r="U23" s="155"/>
      <c r="V23" s="155"/>
      <c r="W23" s="155"/>
      <c r="X23" s="155"/>
      <c r="Y23" s="155"/>
      <c r="Z23" s="155"/>
      <c r="AA23" s="89"/>
      <c r="AB23" s="155"/>
      <c r="AC23" s="4"/>
      <c r="AD23" s="5"/>
    </row>
    <row r="24" spans="1:30" x14ac:dyDescent="0.4">
      <c r="A24" s="87" t="s">
        <v>66</v>
      </c>
      <c r="B24" s="179" t="s">
        <v>63</v>
      </c>
      <c r="C24" s="155"/>
      <c r="D24" s="155"/>
      <c r="E24" s="200" t="s">
        <v>19</v>
      </c>
      <c r="F24" s="155"/>
      <c r="G24" s="155"/>
      <c r="H24" s="155"/>
      <c r="I24" s="155"/>
      <c r="J24" s="155"/>
      <c r="K24" s="155"/>
      <c r="L24" s="155"/>
      <c r="M24" s="155"/>
      <c r="N24" s="155"/>
      <c r="O24" s="155"/>
      <c r="P24" s="155"/>
      <c r="Q24" s="155"/>
      <c r="R24" s="155"/>
      <c r="S24" s="91"/>
      <c r="T24" s="155"/>
      <c r="U24" s="155"/>
      <c r="V24" s="155"/>
      <c r="W24" s="155"/>
      <c r="X24" s="155"/>
      <c r="Y24" s="155"/>
      <c r="Z24" s="155"/>
      <c r="AA24" s="16"/>
      <c r="AB24" s="155"/>
      <c r="AC24" s="4"/>
      <c r="AD24" s="5"/>
    </row>
    <row r="25" spans="1:30" x14ac:dyDescent="0.4">
      <c r="A25" s="87" t="s">
        <v>68</v>
      </c>
      <c r="B25" s="179" t="s">
        <v>67</v>
      </c>
      <c r="C25" s="156">
        <v>202680</v>
      </c>
      <c r="D25" s="156">
        <v>16890</v>
      </c>
      <c r="E25" s="200" t="s">
        <v>19</v>
      </c>
      <c r="F25" s="156">
        <v>16890</v>
      </c>
      <c r="G25" s="156">
        <v>16890</v>
      </c>
      <c r="H25" s="156">
        <v>16890</v>
      </c>
      <c r="I25" s="156">
        <v>16890</v>
      </c>
      <c r="J25" s="156">
        <v>16890</v>
      </c>
      <c r="K25" s="156">
        <v>16890</v>
      </c>
      <c r="L25" s="156">
        <v>16890</v>
      </c>
      <c r="M25" s="156">
        <v>16890</v>
      </c>
      <c r="N25" s="156">
        <v>16890</v>
      </c>
      <c r="O25" s="156">
        <v>16890</v>
      </c>
      <c r="P25" s="156">
        <v>16890</v>
      </c>
      <c r="Q25" s="156">
        <v>16890</v>
      </c>
      <c r="R25" s="156">
        <v>202680</v>
      </c>
      <c r="S25" s="15"/>
      <c r="T25" s="156">
        <v>16890</v>
      </c>
      <c r="U25" s="156">
        <v>16890</v>
      </c>
      <c r="V25" s="156">
        <v>16890</v>
      </c>
      <c r="W25" s="156">
        <v>16890</v>
      </c>
      <c r="X25" s="156">
        <v>16890</v>
      </c>
      <c r="Y25" s="156">
        <v>16890</v>
      </c>
      <c r="Z25" s="156">
        <v>101340</v>
      </c>
      <c r="AA25" s="15"/>
      <c r="AB25" s="210">
        <f>SUM(F25:K25)</f>
        <v>101340</v>
      </c>
      <c r="AC25" s="224">
        <f>+Z25-AB25</f>
        <v>0</v>
      </c>
      <c r="AD25" s="8">
        <f t="shared" si="6"/>
        <v>0</v>
      </c>
    </row>
    <row r="26" spans="1:30" x14ac:dyDescent="0.4">
      <c r="A26" s="87"/>
      <c r="B26" s="179" t="s">
        <v>69</v>
      </c>
      <c r="C26" s="158">
        <v>50664</v>
      </c>
      <c r="D26" s="158">
        <v>4222</v>
      </c>
      <c r="E26" s="200" t="s">
        <v>19</v>
      </c>
      <c r="F26" s="158">
        <v>4222</v>
      </c>
      <c r="G26" s="158">
        <v>4222</v>
      </c>
      <c r="H26" s="158">
        <v>4222</v>
      </c>
      <c r="I26" s="158">
        <v>4222</v>
      </c>
      <c r="J26" s="158">
        <v>4222</v>
      </c>
      <c r="K26" s="158">
        <v>4222</v>
      </c>
      <c r="L26" s="158">
        <v>4222</v>
      </c>
      <c r="M26" s="158">
        <v>4222</v>
      </c>
      <c r="N26" s="158">
        <v>4222</v>
      </c>
      <c r="O26" s="158">
        <v>4222</v>
      </c>
      <c r="P26" s="158">
        <v>4222</v>
      </c>
      <c r="Q26" s="158">
        <v>4222</v>
      </c>
      <c r="R26" s="158">
        <v>50664</v>
      </c>
      <c r="S26" s="15"/>
      <c r="T26" s="158">
        <v>4222</v>
      </c>
      <c r="U26" s="158">
        <v>4222</v>
      </c>
      <c r="V26" s="158">
        <v>4222</v>
      </c>
      <c r="W26" s="158">
        <v>4222</v>
      </c>
      <c r="X26" s="158">
        <v>4222</v>
      </c>
      <c r="Y26" s="158">
        <v>4222</v>
      </c>
      <c r="Z26" s="158">
        <v>25332</v>
      </c>
      <c r="AA26" s="15"/>
      <c r="AB26" s="213">
        <f>SUM(F26:K26)</f>
        <v>25332</v>
      </c>
      <c r="AC26" s="11">
        <f>+Z26-AB26</f>
        <v>0</v>
      </c>
      <c r="AD26" s="12">
        <f t="shared" ref="AD26" si="7">+AC26/AB26</f>
        <v>0</v>
      </c>
    </row>
    <row r="27" spans="1:30" x14ac:dyDescent="0.4">
      <c r="A27" s="87"/>
      <c r="B27" s="179" t="s">
        <v>70</v>
      </c>
      <c r="C27" s="158">
        <v>253344</v>
      </c>
      <c r="D27" s="158">
        <v>21112</v>
      </c>
      <c r="E27" s="200" t="s">
        <v>19</v>
      </c>
      <c r="F27" s="158">
        <v>21112</v>
      </c>
      <c r="G27" s="158">
        <v>21112</v>
      </c>
      <c r="H27" s="158">
        <v>21112</v>
      </c>
      <c r="I27" s="158">
        <v>21112</v>
      </c>
      <c r="J27" s="158">
        <v>21112</v>
      </c>
      <c r="K27" s="158">
        <v>21112</v>
      </c>
      <c r="L27" s="158">
        <v>21112</v>
      </c>
      <c r="M27" s="158">
        <v>21112</v>
      </c>
      <c r="N27" s="158">
        <v>21112</v>
      </c>
      <c r="O27" s="158">
        <v>21112</v>
      </c>
      <c r="P27" s="158">
        <v>21112</v>
      </c>
      <c r="Q27" s="158">
        <v>21112</v>
      </c>
      <c r="R27" s="158">
        <v>253344</v>
      </c>
      <c r="S27" s="15"/>
      <c r="T27" s="158">
        <v>21112</v>
      </c>
      <c r="U27" s="158">
        <v>21112</v>
      </c>
      <c r="V27" s="158">
        <v>21112</v>
      </c>
      <c r="W27" s="158">
        <v>21112</v>
      </c>
      <c r="X27" s="158">
        <v>21112</v>
      </c>
      <c r="Y27" s="158">
        <v>21112</v>
      </c>
      <c r="Z27" s="158">
        <v>126672</v>
      </c>
      <c r="AA27" s="89"/>
      <c r="AB27" s="158">
        <f>SUM(AB25:AB26)</f>
        <v>126672</v>
      </c>
      <c r="AC27" s="158">
        <f>SUM(AC25:AC26)</f>
        <v>0</v>
      </c>
      <c r="AD27" s="12">
        <f t="shared" si="6"/>
        <v>0</v>
      </c>
    </row>
    <row r="28" spans="1:30" x14ac:dyDescent="0.4">
      <c r="A28" s="87"/>
      <c r="B28" s="179"/>
      <c r="C28" s="155"/>
      <c r="D28" s="155"/>
      <c r="E28" s="200" t="s">
        <v>19</v>
      </c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91"/>
      <c r="T28" s="155"/>
      <c r="U28" s="155"/>
      <c r="V28" s="155"/>
      <c r="W28" s="155"/>
      <c r="X28" s="155"/>
      <c r="Y28" s="155"/>
      <c r="Z28" s="155"/>
      <c r="AA28" s="15"/>
      <c r="AB28" s="155"/>
      <c r="AC28" s="4"/>
      <c r="AD28" s="5"/>
    </row>
    <row r="29" spans="1:30" x14ac:dyDescent="0.4">
      <c r="A29" s="87"/>
      <c r="B29" s="179" t="s">
        <v>71</v>
      </c>
      <c r="C29" s="158">
        <v>1869997.52</v>
      </c>
      <c r="D29" s="158">
        <v>155833.12666666668</v>
      </c>
      <c r="E29" s="200" t="s">
        <v>19</v>
      </c>
      <c r="F29" s="158">
        <v>106966.21</v>
      </c>
      <c r="G29" s="158">
        <v>125805.77</v>
      </c>
      <c r="H29" s="158">
        <v>120390.17</v>
      </c>
      <c r="I29" s="158">
        <v>166233.26999999999</v>
      </c>
      <c r="J29" s="158">
        <v>171690.09</v>
      </c>
      <c r="K29" s="158">
        <v>121953.27</v>
      </c>
      <c r="L29" s="158">
        <v>104700.48</v>
      </c>
      <c r="M29" s="158">
        <v>171791.74</v>
      </c>
      <c r="N29" s="158">
        <v>143792.64000000001</v>
      </c>
      <c r="O29" s="158">
        <v>176433.43</v>
      </c>
      <c r="P29" s="158">
        <v>119852.57</v>
      </c>
      <c r="Q29" s="158">
        <v>126758.37</v>
      </c>
      <c r="R29" s="158">
        <v>1656368.01</v>
      </c>
      <c r="S29" s="15"/>
      <c r="T29" s="158">
        <v>127026.21</v>
      </c>
      <c r="U29" s="158">
        <v>124840.07</v>
      </c>
      <c r="V29" s="158">
        <v>143326.26</v>
      </c>
      <c r="W29" s="158">
        <v>135736.1</v>
      </c>
      <c r="X29" s="158">
        <v>141943.04000000001</v>
      </c>
      <c r="Y29" s="158">
        <v>152317.07</v>
      </c>
      <c r="Z29" s="158">
        <v>825188.75</v>
      </c>
      <c r="AA29" s="15"/>
      <c r="AB29" s="158">
        <f>SUM(F29:K29)</f>
        <v>813038.78</v>
      </c>
      <c r="AC29" s="11">
        <f>+Z29-AB29</f>
        <v>12149.969999999972</v>
      </c>
      <c r="AD29" s="12">
        <f t="shared" si="6"/>
        <v>1.4943899723946712E-2</v>
      </c>
    </row>
    <row r="30" spans="1:30" x14ac:dyDescent="0.4">
      <c r="A30" s="87"/>
      <c r="B30" s="179"/>
      <c r="C30" s="155"/>
      <c r="D30" s="155"/>
      <c r="E30" s="200" t="s">
        <v>19</v>
      </c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"/>
      <c r="T30" s="157"/>
      <c r="U30" s="157"/>
      <c r="V30" s="157"/>
      <c r="W30" s="157"/>
      <c r="X30" s="157"/>
      <c r="Y30" s="157"/>
      <c r="Z30" s="157"/>
      <c r="AA30" s="15"/>
      <c r="AB30" s="155"/>
      <c r="AC30" s="4"/>
      <c r="AD30" s="5"/>
    </row>
    <row r="31" spans="1:30" ht="15" thickBot="1" x14ac:dyDescent="0.45">
      <c r="A31" s="87"/>
      <c r="B31" s="179" t="s">
        <v>72</v>
      </c>
      <c r="C31" s="189">
        <v>-365517.47</v>
      </c>
      <c r="D31" s="189">
        <v>-30459.789166666666</v>
      </c>
      <c r="E31" s="200" t="s">
        <v>19</v>
      </c>
      <c r="F31" s="189">
        <v>-49768.23</v>
      </c>
      <c r="G31" s="189">
        <v>-21701.66</v>
      </c>
      <c r="H31" s="189">
        <v>55350.02</v>
      </c>
      <c r="I31" s="189">
        <v>-98852.69</v>
      </c>
      <c r="J31" s="189">
        <v>-3764.94</v>
      </c>
      <c r="K31" s="189">
        <v>-27095.22</v>
      </c>
      <c r="L31" s="189">
        <v>-28489.439999999999</v>
      </c>
      <c r="M31" s="189">
        <v>30527.95</v>
      </c>
      <c r="N31" s="189">
        <v>-32483.69</v>
      </c>
      <c r="O31" s="189">
        <v>-59460.74</v>
      </c>
      <c r="P31" s="189">
        <v>-59333.3</v>
      </c>
      <c r="Q31" s="189">
        <v>-18009.919999999998</v>
      </c>
      <c r="R31" s="189">
        <v>-313081.86</v>
      </c>
      <c r="S31" s="91"/>
      <c r="T31" s="159">
        <v>-33909.64</v>
      </c>
      <c r="U31" s="159">
        <v>-54147.43</v>
      </c>
      <c r="V31" s="159">
        <v>-21238</v>
      </c>
      <c r="W31" s="159">
        <v>74563.87</v>
      </c>
      <c r="X31" s="159">
        <v>-68722.39</v>
      </c>
      <c r="Y31" s="159">
        <v>-41186.400000000001</v>
      </c>
      <c r="Z31" s="159">
        <v>-144639.99</v>
      </c>
      <c r="AA31" s="15"/>
      <c r="AB31" s="189">
        <f>SUM(F31:K31)</f>
        <v>-145832.72</v>
      </c>
      <c r="AC31" s="13">
        <f>+Z31-AB31</f>
        <v>1192.7300000000105</v>
      </c>
      <c r="AD31" s="14">
        <f t="shared" si="6"/>
        <v>-8.1787543975042811E-3</v>
      </c>
    </row>
    <row r="32" spans="1:30" ht="15" thickTop="1" x14ac:dyDescent="0.4">
      <c r="A32" s="87"/>
      <c r="B32" s="179"/>
      <c r="C32" s="155"/>
      <c r="D32" s="155"/>
      <c r="E32" s="200" t="s">
        <v>19</v>
      </c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55"/>
      <c r="R32" s="155"/>
      <c r="S32" s="15"/>
      <c r="T32" s="155"/>
      <c r="U32" s="155"/>
      <c r="V32" s="155"/>
      <c r="W32" s="155"/>
      <c r="X32" s="155"/>
      <c r="Y32" s="155"/>
      <c r="Z32" s="155"/>
      <c r="AA32" s="15"/>
      <c r="AB32" s="155"/>
      <c r="AC32" s="4"/>
      <c r="AD32" s="5"/>
    </row>
    <row r="33" spans="1:30" x14ac:dyDescent="0.4">
      <c r="A33" s="87" t="s">
        <v>75</v>
      </c>
      <c r="B33" s="179" t="s">
        <v>73</v>
      </c>
      <c r="C33" s="155"/>
      <c r="D33" s="155"/>
      <c r="E33" s="200" t="s">
        <v>19</v>
      </c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"/>
      <c r="T33" s="155"/>
      <c r="U33" s="155"/>
      <c r="V33" s="155"/>
      <c r="W33" s="155"/>
      <c r="X33" s="155"/>
      <c r="Y33" s="155"/>
      <c r="Z33" s="155"/>
      <c r="AA33" s="15"/>
      <c r="AB33" s="155"/>
      <c r="AC33" s="4"/>
      <c r="AD33" s="5"/>
    </row>
    <row r="34" spans="1:30" x14ac:dyDescent="0.4">
      <c r="A34" s="87" t="s">
        <v>77</v>
      </c>
      <c r="B34" s="179" t="s">
        <v>74</v>
      </c>
      <c r="C34" s="155"/>
      <c r="D34" s="155"/>
      <c r="E34" s="200" t="s">
        <v>19</v>
      </c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"/>
      <c r="T34" s="155"/>
      <c r="U34" s="155"/>
      <c r="V34" s="155"/>
      <c r="W34" s="155"/>
      <c r="X34" s="155"/>
      <c r="Y34" s="155"/>
      <c r="Z34" s="155"/>
      <c r="AA34" s="89"/>
      <c r="AB34" s="155"/>
      <c r="AC34" s="4"/>
      <c r="AD34" s="5"/>
    </row>
    <row r="35" spans="1:30" x14ac:dyDescent="0.4">
      <c r="A35" s="87" t="s">
        <v>79</v>
      </c>
      <c r="B35" s="179" t="s">
        <v>76</v>
      </c>
      <c r="C35" s="156">
        <v>539443.71</v>
      </c>
      <c r="D35" s="156">
        <v>44953.642500000002</v>
      </c>
      <c r="E35" s="200" t="s">
        <v>19</v>
      </c>
      <c r="F35" s="156">
        <v>25070.39</v>
      </c>
      <c r="G35" s="156">
        <v>37439.58</v>
      </c>
      <c r="H35" s="156">
        <v>37535.46</v>
      </c>
      <c r="I35" s="156">
        <v>37658.06</v>
      </c>
      <c r="J35" s="156">
        <v>38387.43</v>
      </c>
      <c r="K35" s="156">
        <v>39496.980000000003</v>
      </c>
      <c r="L35" s="156">
        <v>39208.51</v>
      </c>
      <c r="M35" s="156">
        <v>38892.97</v>
      </c>
      <c r="N35" s="156">
        <v>38218.18</v>
      </c>
      <c r="O35" s="156">
        <v>33210.839999999997</v>
      </c>
      <c r="P35" s="156">
        <v>32604.47</v>
      </c>
      <c r="Q35" s="156">
        <v>34165.03</v>
      </c>
      <c r="R35" s="156">
        <v>431887.9</v>
      </c>
      <c r="S35" s="15"/>
      <c r="T35" s="156">
        <v>33342.28</v>
      </c>
      <c r="U35" s="156">
        <v>40855.120000000003</v>
      </c>
      <c r="V35" s="156">
        <v>37203.51</v>
      </c>
      <c r="W35" s="156">
        <v>37178.720000000001</v>
      </c>
      <c r="X35" s="156">
        <v>36262.550000000003</v>
      </c>
      <c r="Y35" s="156">
        <v>34890.6</v>
      </c>
      <c r="Z35" s="156">
        <v>219732.78</v>
      </c>
      <c r="AA35" s="89"/>
      <c r="AB35" s="210">
        <f t="shared" ref="AB35:AB40" si="8">SUM(F35:K35)</f>
        <v>215587.9</v>
      </c>
      <c r="AC35" s="224">
        <f>+Z35-AB35</f>
        <v>4144.8800000000047</v>
      </c>
      <c r="AD35" s="8">
        <f t="shared" si="6"/>
        <v>1.9225939860261197E-2</v>
      </c>
    </row>
    <row r="36" spans="1:30" x14ac:dyDescent="0.4">
      <c r="A36" s="87" t="s">
        <v>81</v>
      </c>
      <c r="B36" s="179" t="s">
        <v>78</v>
      </c>
      <c r="C36" s="156">
        <v>40768.01</v>
      </c>
      <c r="D36" s="156">
        <v>3397.3341666666665</v>
      </c>
      <c r="E36" s="200" t="s">
        <v>19</v>
      </c>
      <c r="F36" s="156">
        <v>6530.01</v>
      </c>
      <c r="G36" s="156">
        <v>2862.51</v>
      </c>
      <c r="H36" s="156">
        <v>2869.84</v>
      </c>
      <c r="I36" s="156">
        <v>2879.22</v>
      </c>
      <c r="J36" s="156">
        <v>2935</v>
      </c>
      <c r="K36" s="156">
        <v>3019.9</v>
      </c>
      <c r="L36" s="156">
        <v>2997.83</v>
      </c>
      <c r="M36" s="156">
        <v>2973.67</v>
      </c>
      <c r="N36" s="156">
        <v>2922.06</v>
      </c>
      <c r="O36" s="156">
        <v>2539.0100000000002</v>
      </c>
      <c r="P36" s="156">
        <v>2492.6</v>
      </c>
      <c r="Q36" s="156">
        <v>2611.98</v>
      </c>
      <c r="R36" s="156">
        <v>37633.629999999997</v>
      </c>
      <c r="S36" s="15"/>
      <c r="T36" s="156">
        <v>2549.04</v>
      </c>
      <c r="U36" s="156">
        <v>3123.78</v>
      </c>
      <c r="V36" s="156">
        <v>2844.42</v>
      </c>
      <c r="W36" s="156">
        <v>2842.55</v>
      </c>
      <c r="X36" s="156">
        <v>2772.46</v>
      </c>
      <c r="Y36" s="156">
        <v>2667.51</v>
      </c>
      <c r="Z36" s="156">
        <v>16799.759999999998</v>
      </c>
      <c r="AA36" s="89"/>
      <c r="AB36" s="210">
        <f t="shared" si="8"/>
        <v>21096.480000000003</v>
      </c>
      <c r="AC36" s="224">
        <f t="shared" ref="AC36:AC40" si="9">+Z36-AB36</f>
        <v>-4296.7200000000048</v>
      </c>
      <c r="AD36" s="8">
        <f t="shared" ref="AD36:AD40" si="10">+AC36/AB36</f>
        <v>-0.20366999613205636</v>
      </c>
    </row>
    <row r="37" spans="1:30" x14ac:dyDescent="0.4">
      <c r="A37" s="87" t="s">
        <v>83</v>
      </c>
      <c r="B37" s="179" t="s">
        <v>80</v>
      </c>
      <c r="C37" s="156">
        <v>7713.84</v>
      </c>
      <c r="D37" s="156">
        <v>642.82000000000005</v>
      </c>
      <c r="E37" s="200" t="s">
        <v>19</v>
      </c>
      <c r="F37" s="156">
        <v>72.56</v>
      </c>
      <c r="G37" s="156">
        <v>73.33</v>
      </c>
      <c r="H37" s="156">
        <v>75.12</v>
      </c>
      <c r="I37" s="156">
        <v>2937.55</v>
      </c>
      <c r="J37" s="156">
        <v>2800.41</v>
      </c>
      <c r="K37" s="156">
        <v>483.08</v>
      </c>
      <c r="L37" s="156">
        <v>152.63</v>
      </c>
      <c r="M37" s="156">
        <v>155.26</v>
      </c>
      <c r="N37" s="156">
        <v>78.459999999999994</v>
      </c>
      <c r="O37" s="156">
        <v>77.41</v>
      </c>
      <c r="P37" s="156">
        <v>75.36</v>
      </c>
      <c r="Q37" s="156">
        <v>80.66</v>
      </c>
      <c r="R37" s="156">
        <v>7061.83</v>
      </c>
      <c r="S37" s="15"/>
      <c r="T37" s="156">
        <v>77.86</v>
      </c>
      <c r="U37" s="156">
        <v>103.4</v>
      </c>
      <c r="V37" s="156">
        <v>91</v>
      </c>
      <c r="W37" s="156">
        <v>993.78</v>
      </c>
      <c r="X37" s="156">
        <v>1098.78</v>
      </c>
      <c r="Y37" s="156">
        <v>336.97</v>
      </c>
      <c r="Z37" s="156">
        <v>2701.79</v>
      </c>
      <c r="AA37" s="16"/>
      <c r="AB37" s="210">
        <f t="shared" si="8"/>
        <v>6442.05</v>
      </c>
      <c r="AC37" s="224">
        <f t="shared" si="9"/>
        <v>-3740.26</v>
      </c>
      <c r="AD37" s="8">
        <f t="shared" si="10"/>
        <v>-0.58060089567761819</v>
      </c>
    </row>
    <row r="38" spans="1:30" x14ac:dyDescent="0.4">
      <c r="A38" s="87" t="s">
        <v>85</v>
      </c>
      <c r="B38" s="179" t="s">
        <v>82</v>
      </c>
      <c r="C38" s="156">
        <v>10787.93</v>
      </c>
      <c r="D38" s="156">
        <v>898.99416666666673</v>
      </c>
      <c r="E38" s="200" t="s">
        <v>19</v>
      </c>
      <c r="F38" s="156">
        <v>501.41</v>
      </c>
      <c r="G38" s="156">
        <v>748.79</v>
      </c>
      <c r="H38" s="156">
        <v>750.71</v>
      </c>
      <c r="I38" s="156">
        <v>753.16</v>
      </c>
      <c r="J38" s="156">
        <v>767.75</v>
      </c>
      <c r="K38" s="156">
        <v>789.94</v>
      </c>
      <c r="L38" s="156">
        <v>784.17</v>
      </c>
      <c r="M38" s="156">
        <v>777.86</v>
      </c>
      <c r="N38" s="156">
        <v>764.36</v>
      </c>
      <c r="O38" s="156">
        <v>664.22</v>
      </c>
      <c r="P38" s="156">
        <v>911.94</v>
      </c>
      <c r="Q38" s="156">
        <v>683.3</v>
      </c>
      <c r="R38" s="156">
        <v>8897.61</v>
      </c>
      <c r="S38" s="91"/>
      <c r="T38" s="156">
        <v>666.85</v>
      </c>
      <c r="U38" s="156">
        <v>817.1</v>
      </c>
      <c r="V38" s="156">
        <v>744.07</v>
      </c>
      <c r="W38" s="156">
        <v>743.57</v>
      </c>
      <c r="X38" s="156">
        <v>725.25</v>
      </c>
      <c r="Y38" s="156">
        <v>697.81</v>
      </c>
      <c r="Z38" s="156">
        <v>4394.6499999999996</v>
      </c>
      <c r="AA38" s="16"/>
      <c r="AB38" s="210">
        <f t="shared" si="8"/>
        <v>4311.76</v>
      </c>
      <c r="AC38" s="224">
        <f t="shared" si="9"/>
        <v>82.889999999999418</v>
      </c>
      <c r="AD38" s="8">
        <f t="shared" si="10"/>
        <v>1.9224168321056695E-2</v>
      </c>
    </row>
    <row r="39" spans="1:30" x14ac:dyDescent="0.4">
      <c r="A39" s="87"/>
      <c r="B39" s="179" t="s">
        <v>84</v>
      </c>
      <c r="C39" s="156">
        <v>2012.65</v>
      </c>
      <c r="D39" s="156">
        <v>167.7208333333333</v>
      </c>
      <c r="E39" s="200" t="s">
        <v>19</v>
      </c>
      <c r="F39" s="156">
        <v>157.22999999999999</v>
      </c>
      <c r="G39" s="156">
        <v>154.35</v>
      </c>
      <c r="H39" s="156">
        <v>168.98</v>
      </c>
      <c r="I39" s="156">
        <v>159.35</v>
      </c>
      <c r="J39" s="156">
        <v>172.85</v>
      </c>
      <c r="K39" s="156">
        <v>254.46</v>
      </c>
      <c r="L39" s="156">
        <v>209.65</v>
      </c>
      <c r="M39" s="156">
        <v>188.37</v>
      </c>
      <c r="N39" s="156">
        <v>161.1</v>
      </c>
      <c r="O39" s="156">
        <v>157.09</v>
      </c>
      <c r="P39" s="156">
        <v>155.1</v>
      </c>
      <c r="Q39" s="156">
        <v>180.11</v>
      </c>
      <c r="R39" s="156">
        <v>2118.64</v>
      </c>
      <c r="S39" s="91"/>
      <c r="T39" s="156">
        <v>161.1</v>
      </c>
      <c r="U39" s="156">
        <v>249.64</v>
      </c>
      <c r="V39" s="156">
        <v>199.76</v>
      </c>
      <c r="W39" s="156">
        <v>187.12</v>
      </c>
      <c r="X39" s="156">
        <v>210.06</v>
      </c>
      <c r="Y39" s="156">
        <v>183.78</v>
      </c>
      <c r="Z39" s="156">
        <v>1191.46</v>
      </c>
      <c r="AA39" s="16"/>
      <c r="AB39" s="210">
        <f t="shared" si="8"/>
        <v>1067.22</v>
      </c>
      <c r="AC39" s="224">
        <f t="shared" si="9"/>
        <v>124.24000000000001</v>
      </c>
      <c r="AD39" s="8">
        <f t="shared" si="10"/>
        <v>0.11641460992110343</v>
      </c>
    </row>
    <row r="40" spans="1:30" x14ac:dyDescent="0.4">
      <c r="A40" s="87"/>
      <c r="B40" s="179" t="s">
        <v>86</v>
      </c>
      <c r="C40" s="158">
        <v>127303.98</v>
      </c>
      <c r="D40" s="158">
        <v>10608.665000000001</v>
      </c>
      <c r="E40" s="200" t="s">
        <v>19</v>
      </c>
      <c r="F40" s="158">
        <v>13297.4</v>
      </c>
      <c r="G40" s="158">
        <v>12155.35</v>
      </c>
      <c r="H40" s="158">
        <v>13459.4</v>
      </c>
      <c r="I40" s="158">
        <v>11342.45</v>
      </c>
      <c r="J40" s="158">
        <v>10239.83</v>
      </c>
      <c r="K40" s="158">
        <v>10190.41</v>
      </c>
      <c r="L40" s="158">
        <v>10238.86</v>
      </c>
      <c r="M40" s="158">
        <v>10238.86</v>
      </c>
      <c r="N40" s="158">
        <v>10238.86</v>
      </c>
      <c r="O40" s="158">
        <v>10238.86</v>
      </c>
      <c r="P40" s="158">
        <v>9246.4</v>
      </c>
      <c r="Q40" s="158">
        <v>7632.58</v>
      </c>
      <c r="R40" s="158">
        <v>128519.26</v>
      </c>
      <c r="S40" s="91"/>
      <c r="T40" s="158">
        <v>8925.14</v>
      </c>
      <c r="U40" s="158">
        <v>8925.14</v>
      </c>
      <c r="V40" s="158">
        <v>9913.86</v>
      </c>
      <c r="W40" s="158">
        <v>9867.59</v>
      </c>
      <c r="X40" s="158">
        <v>9867.59</v>
      </c>
      <c r="Y40" s="158">
        <v>9867.59</v>
      </c>
      <c r="Z40" s="158">
        <v>57366.91</v>
      </c>
      <c r="AA40" s="16"/>
      <c r="AB40" s="213">
        <f t="shared" si="8"/>
        <v>70684.840000000011</v>
      </c>
      <c r="AC40" s="11">
        <f t="shared" si="9"/>
        <v>-13317.930000000008</v>
      </c>
      <c r="AD40" s="12">
        <f t="shared" si="10"/>
        <v>-0.18841281949566563</v>
      </c>
    </row>
    <row r="41" spans="1:30" x14ac:dyDescent="0.4">
      <c r="A41" s="87"/>
      <c r="B41" s="179" t="s">
        <v>89</v>
      </c>
      <c r="C41" s="158">
        <v>728030.12</v>
      </c>
      <c r="D41" s="158">
        <v>60669.176666666666</v>
      </c>
      <c r="E41" s="200" t="s">
        <v>19</v>
      </c>
      <c r="F41" s="158">
        <v>45629</v>
      </c>
      <c r="G41" s="158">
        <v>53433.91</v>
      </c>
      <c r="H41" s="158">
        <v>54859.51</v>
      </c>
      <c r="I41" s="158">
        <v>55729.79</v>
      </c>
      <c r="J41" s="158">
        <v>55303.27</v>
      </c>
      <c r="K41" s="158">
        <v>54234.77</v>
      </c>
      <c r="L41" s="158">
        <v>53591.65</v>
      </c>
      <c r="M41" s="158">
        <v>53226.99</v>
      </c>
      <c r="N41" s="158">
        <v>52383.02</v>
      </c>
      <c r="O41" s="158">
        <v>46887.43</v>
      </c>
      <c r="P41" s="158">
        <v>45485.87</v>
      </c>
      <c r="Q41" s="158">
        <v>45353.66</v>
      </c>
      <c r="R41" s="158">
        <v>616118.87</v>
      </c>
      <c r="S41" s="15"/>
      <c r="T41" s="158">
        <v>45722.27</v>
      </c>
      <c r="U41" s="158">
        <v>54074.18</v>
      </c>
      <c r="V41" s="158">
        <v>50996.62</v>
      </c>
      <c r="W41" s="158">
        <v>51813.33</v>
      </c>
      <c r="X41" s="158">
        <v>50936.69</v>
      </c>
      <c r="Y41" s="158">
        <v>48644.26</v>
      </c>
      <c r="Z41" s="158">
        <v>302187.34999999998</v>
      </c>
      <c r="AA41" s="16"/>
      <c r="AB41" s="158">
        <f>SUM(AB35:AB40)</f>
        <v>319190.25</v>
      </c>
      <c r="AC41" s="158">
        <f>SUM(AC35:AC40)</f>
        <v>-17002.900000000009</v>
      </c>
      <c r="AD41" s="12">
        <f t="shared" si="6"/>
        <v>-5.3268857679706724E-2</v>
      </c>
    </row>
    <row r="42" spans="1:30" x14ac:dyDescent="0.4">
      <c r="A42" s="87"/>
      <c r="B42" s="179"/>
      <c r="C42" s="155"/>
      <c r="D42" s="155"/>
      <c r="E42" s="200" t="s">
        <v>19</v>
      </c>
      <c r="F42" s="155"/>
      <c r="G42" s="155"/>
      <c r="H42" s="155"/>
      <c r="I42" s="155"/>
      <c r="J42" s="155"/>
      <c r="K42" s="155"/>
      <c r="L42" s="155"/>
      <c r="M42" s="155"/>
      <c r="N42" s="155"/>
      <c r="O42" s="155"/>
      <c r="P42" s="155"/>
      <c r="Q42" s="155"/>
      <c r="R42" s="155"/>
      <c r="S42" s="15"/>
      <c r="T42" s="155"/>
      <c r="U42" s="155"/>
      <c r="V42" s="155"/>
      <c r="W42" s="155"/>
      <c r="X42" s="155"/>
      <c r="Y42" s="155"/>
      <c r="Z42" s="155"/>
      <c r="AA42" s="15"/>
      <c r="AB42" s="155"/>
      <c r="AC42" s="4"/>
      <c r="AD42" s="5"/>
    </row>
    <row r="43" spans="1:30" x14ac:dyDescent="0.4">
      <c r="A43" s="87" t="s">
        <v>91</v>
      </c>
      <c r="B43" s="179" t="s">
        <v>57</v>
      </c>
      <c r="C43" s="155"/>
      <c r="D43" s="155"/>
      <c r="E43" s="200" t="s">
        <v>19</v>
      </c>
      <c r="F43" s="155"/>
      <c r="G43" s="155"/>
      <c r="H43" s="155"/>
      <c r="I43" s="155"/>
      <c r="J43" s="155"/>
      <c r="K43" s="155"/>
      <c r="L43" s="155"/>
      <c r="M43" s="155"/>
      <c r="N43" s="155"/>
      <c r="O43" s="155"/>
      <c r="P43" s="155"/>
      <c r="Q43" s="155"/>
      <c r="R43" s="155"/>
      <c r="S43" s="91"/>
      <c r="T43" s="155"/>
      <c r="U43" s="155"/>
      <c r="V43" s="155"/>
      <c r="W43" s="155"/>
      <c r="X43" s="155"/>
      <c r="Y43" s="155"/>
      <c r="Z43" s="155"/>
      <c r="AA43" s="15"/>
      <c r="AB43" s="155"/>
      <c r="AC43" s="4"/>
      <c r="AD43" s="5"/>
    </row>
    <row r="44" spans="1:30" x14ac:dyDescent="0.4">
      <c r="A44" s="87"/>
      <c r="B44" s="179" t="s">
        <v>90</v>
      </c>
      <c r="C44" s="155"/>
      <c r="D44" s="155"/>
      <c r="E44" s="200" t="s">
        <v>19</v>
      </c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55"/>
      <c r="Q44" s="155"/>
      <c r="R44" s="155"/>
      <c r="S44" s="91"/>
      <c r="T44" s="155"/>
      <c r="U44" s="155"/>
      <c r="V44" s="155"/>
      <c r="W44" s="155"/>
      <c r="X44" s="155"/>
      <c r="Y44" s="155"/>
      <c r="Z44" s="155"/>
      <c r="AA44" s="89"/>
      <c r="AB44" s="155"/>
      <c r="AC44" s="4"/>
      <c r="AD44" s="5"/>
    </row>
    <row r="45" spans="1:30" x14ac:dyDescent="0.4">
      <c r="A45" s="87"/>
      <c r="B45" s="179" t="s">
        <v>92</v>
      </c>
      <c r="C45" s="158">
        <v>1131.75</v>
      </c>
      <c r="D45" s="158">
        <v>94.3125</v>
      </c>
      <c r="E45" s="200" t="s">
        <v>19</v>
      </c>
      <c r="F45" s="158">
        <v>750</v>
      </c>
      <c r="G45" s="157"/>
      <c r="H45" s="157"/>
      <c r="I45" s="157"/>
      <c r="J45" s="157"/>
      <c r="K45" s="157"/>
      <c r="L45" s="157"/>
      <c r="M45" s="157"/>
      <c r="N45" s="157"/>
      <c r="O45" s="157"/>
      <c r="P45" s="157"/>
      <c r="Q45" s="157"/>
      <c r="R45" s="158">
        <v>750</v>
      </c>
      <c r="S45" s="15"/>
      <c r="T45" s="157"/>
      <c r="U45" s="157"/>
      <c r="V45" s="157"/>
      <c r="W45" s="157"/>
      <c r="X45" s="157"/>
      <c r="Y45" s="157"/>
      <c r="Z45" s="157"/>
      <c r="AA45" s="89"/>
      <c r="AB45" s="158">
        <f>SUM(F45:K45)</f>
        <v>750</v>
      </c>
      <c r="AC45" s="11">
        <f>+Z45-AB45</f>
        <v>-750</v>
      </c>
      <c r="AD45" s="5">
        <f t="shared" si="6"/>
        <v>-1</v>
      </c>
    </row>
    <row r="46" spans="1:30" x14ac:dyDescent="0.4">
      <c r="A46" s="87"/>
      <c r="B46" s="179" t="s">
        <v>95</v>
      </c>
      <c r="C46" s="158">
        <v>1131.75</v>
      </c>
      <c r="D46" s="158">
        <v>94.3125</v>
      </c>
      <c r="E46" s="200" t="s">
        <v>19</v>
      </c>
      <c r="F46" s="158">
        <v>750</v>
      </c>
      <c r="G46" s="158"/>
      <c r="H46" s="158"/>
      <c r="I46" s="158"/>
      <c r="J46" s="158"/>
      <c r="K46" s="158"/>
      <c r="L46" s="158"/>
      <c r="M46" s="158"/>
      <c r="N46" s="158"/>
      <c r="O46" s="158"/>
      <c r="P46" s="158"/>
      <c r="Q46" s="158"/>
      <c r="R46" s="158">
        <v>750</v>
      </c>
      <c r="S46" s="15"/>
      <c r="T46" s="158"/>
      <c r="U46" s="158"/>
      <c r="V46" s="158"/>
      <c r="W46" s="158"/>
      <c r="X46" s="158"/>
      <c r="Y46" s="158"/>
      <c r="Z46" s="158"/>
      <c r="AA46" s="89"/>
      <c r="AB46" s="158">
        <f>SUM(AB45)</f>
        <v>750</v>
      </c>
      <c r="AC46" s="158">
        <f>SUM(AC45)</f>
        <v>-750</v>
      </c>
      <c r="AD46" s="10">
        <f t="shared" si="6"/>
        <v>-1</v>
      </c>
    </row>
    <row r="47" spans="1:30" x14ac:dyDescent="0.4">
      <c r="A47" s="87" t="s">
        <v>97</v>
      </c>
      <c r="B47" s="179"/>
      <c r="C47" s="155"/>
      <c r="D47" s="155"/>
      <c r="E47" s="200" t="s">
        <v>19</v>
      </c>
      <c r="F47" s="155"/>
      <c r="G47" s="155"/>
      <c r="H47" s="155"/>
      <c r="I47" s="155"/>
      <c r="J47" s="155"/>
      <c r="K47" s="155"/>
      <c r="L47" s="155"/>
      <c r="M47" s="155"/>
      <c r="N47" s="155"/>
      <c r="O47" s="155"/>
      <c r="P47" s="155"/>
      <c r="Q47" s="155"/>
      <c r="R47" s="155"/>
      <c r="S47" s="15"/>
      <c r="T47" s="155"/>
      <c r="U47" s="155"/>
      <c r="V47" s="155"/>
      <c r="W47" s="155"/>
      <c r="X47" s="155"/>
      <c r="Y47" s="155"/>
      <c r="Z47" s="155"/>
      <c r="AA47" s="15"/>
      <c r="AB47" s="155"/>
      <c r="AC47" s="4"/>
      <c r="AD47" s="5"/>
    </row>
    <row r="48" spans="1:30" x14ac:dyDescent="0.4">
      <c r="A48" s="87" t="s">
        <v>99</v>
      </c>
      <c r="B48" s="179" t="s">
        <v>96</v>
      </c>
      <c r="C48" s="155"/>
      <c r="D48" s="155"/>
      <c r="E48" s="200" t="s">
        <v>19</v>
      </c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5"/>
      <c r="Q48" s="155"/>
      <c r="R48" s="155"/>
      <c r="S48" s="91"/>
      <c r="T48" s="155"/>
      <c r="U48" s="155"/>
      <c r="V48" s="155"/>
      <c r="W48" s="155"/>
      <c r="X48" s="155"/>
      <c r="Y48" s="155"/>
      <c r="Z48" s="155"/>
      <c r="AA48" s="15"/>
      <c r="AB48" s="155"/>
      <c r="AC48" s="4"/>
      <c r="AD48" s="5"/>
    </row>
    <row r="49" spans="1:30" x14ac:dyDescent="0.4">
      <c r="A49" s="87"/>
      <c r="B49" s="179" t="s">
        <v>98</v>
      </c>
      <c r="C49" s="156">
        <v>86061.98</v>
      </c>
      <c r="D49" s="156">
        <v>7171.8316666666669</v>
      </c>
      <c r="E49" s="200" t="s">
        <v>19</v>
      </c>
      <c r="F49" s="155"/>
      <c r="G49" s="155"/>
      <c r="H49" s="155"/>
      <c r="I49" s="155"/>
      <c r="J49" s="155"/>
      <c r="K49" s="155"/>
      <c r="L49" s="155"/>
      <c r="M49" s="155"/>
      <c r="N49" s="155"/>
      <c r="O49" s="155"/>
      <c r="P49" s="155"/>
      <c r="Q49" s="155"/>
      <c r="R49" s="155"/>
      <c r="S49" s="15"/>
      <c r="T49" s="155"/>
      <c r="U49" s="155"/>
      <c r="V49" s="155"/>
      <c r="W49" s="155"/>
      <c r="X49" s="155"/>
      <c r="Y49" s="155"/>
      <c r="Z49" s="155"/>
      <c r="AA49" s="89"/>
      <c r="AB49" s="210">
        <f>SUM(F49:K49)</f>
        <v>0</v>
      </c>
      <c r="AC49" s="224">
        <f>+Z49-AB49</f>
        <v>0</v>
      </c>
      <c r="AD49" s="8" t="e">
        <f t="shared" si="6"/>
        <v>#DIV/0!</v>
      </c>
    </row>
    <row r="50" spans="1:30" x14ac:dyDescent="0.4">
      <c r="A50" s="87"/>
      <c r="B50" s="179" t="s">
        <v>100</v>
      </c>
      <c r="C50" s="158">
        <v>2775</v>
      </c>
      <c r="D50" s="158">
        <v>231.25</v>
      </c>
      <c r="E50" s="200" t="s">
        <v>19</v>
      </c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157"/>
      <c r="Q50" s="157"/>
      <c r="R50" s="157"/>
      <c r="S50" s="91"/>
      <c r="T50" s="157"/>
      <c r="U50" s="157"/>
      <c r="V50" s="157"/>
      <c r="W50" s="157"/>
      <c r="X50" s="157"/>
      <c r="Y50" s="157"/>
      <c r="Z50" s="157"/>
      <c r="AA50" s="89"/>
      <c r="AB50" s="213">
        <f>SUM(F50:K50)</f>
        <v>0</v>
      </c>
      <c r="AC50" s="11">
        <f>+Z50-AB50</f>
        <v>0</v>
      </c>
      <c r="AD50" s="12" t="e">
        <f t="shared" ref="AD50" si="11">+AC50/AB50</f>
        <v>#DIV/0!</v>
      </c>
    </row>
    <row r="51" spans="1:30" x14ac:dyDescent="0.4">
      <c r="A51" s="87"/>
      <c r="B51" s="179" t="s">
        <v>101</v>
      </c>
      <c r="C51" s="158">
        <v>88836.98</v>
      </c>
      <c r="D51" s="158">
        <v>7403.0816666666669</v>
      </c>
      <c r="E51" s="200" t="s">
        <v>19</v>
      </c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8"/>
      <c r="Q51" s="158"/>
      <c r="R51" s="158"/>
      <c r="S51" s="91"/>
      <c r="T51" s="158"/>
      <c r="U51" s="158"/>
      <c r="V51" s="158"/>
      <c r="W51" s="158"/>
      <c r="X51" s="158"/>
      <c r="Y51" s="158"/>
      <c r="Z51" s="158"/>
      <c r="AA51" s="89"/>
      <c r="AB51" s="158">
        <f>SUM(AB49:AB50)</f>
        <v>0</v>
      </c>
      <c r="AC51" s="158">
        <f>SUM(AC49:AC50)</f>
        <v>0</v>
      </c>
      <c r="AD51" s="12" t="e">
        <f t="shared" si="6"/>
        <v>#DIV/0!</v>
      </c>
    </row>
    <row r="52" spans="1:30" x14ac:dyDescent="0.4">
      <c r="A52" s="87"/>
      <c r="B52" s="179"/>
      <c r="C52" s="155"/>
      <c r="D52" s="155"/>
      <c r="E52" s="200" t="s">
        <v>19</v>
      </c>
      <c r="F52" s="155"/>
      <c r="G52" s="155"/>
      <c r="H52" s="155"/>
      <c r="I52" s="155"/>
      <c r="J52" s="155"/>
      <c r="K52" s="155"/>
      <c r="L52" s="155"/>
      <c r="M52" s="155"/>
      <c r="N52" s="155"/>
      <c r="O52" s="155"/>
      <c r="P52" s="155"/>
      <c r="Q52" s="155"/>
      <c r="R52" s="155"/>
      <c r="S52" s="15"/>
      <c r="T52" s="155"/>
      <c r="U52" s="155"/>
      <c r="V52" s="155"/>
      <c r="W52" s="155"/>
      <c r="X52" s="155"/>
      <c r="Y52" s="155"/>
      <c r="Z52" s="155"/>
      <c r="AA52" s="91"/>
      <c r="AB52" s="155"/>
      <c r="AC52" s="4"/>
      <c r="AD52" s="5"/>
    </row>
    <row r="53" spans="1:30" x14ac:dyDescent="0.4">
      <c r="A53" s="87"/>
      <c r="B53" s="179" t="s">
        <v>102</v>
      </c>
      <c r="C53" s="158">
        <v>89968.73</v>
      </c>
      <c r="D53" s="158">
        <v>7497.3941666666669</v>
      </c>
      <c r="E53" s="200" t="s">
        <v>19</v>
      </c>
      <c r="F53" s="158">
        <v>750</v>
      </c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8">
        <v>750</v>
      </c>
      <c r="S53" s="15"/>
      <c r="T53" s="158"/>
      <c r="U53" s="158"/>
      <c r="V53" s="158"/>
      <c r="W53" s="158"/>
      <c r="X53" s="158"/>
      <c r="Y53" s="158"/>
      <c r="Z53" s="158"/>
      <c r="AA53" s="15"/>
      <c r="AB53" s="158">
        <f>SUM(F53:K53)</f>
        <v>750</v>
      </c>
      <c r="AC53" s="11">
        <f>+Z53-AB53</f>
        <v>-750</v>
      </c>
      <c r="AD53" s="12">
        <f t="shared" si="6"/>
        <v>-1</v>
      </c>
    </row>
    <row r="54" spans="1:30" x14ac:dyDescent="0.4">
      <c r="A54" s="87" t="s">
        <v>104</v>
      </c>
      <c r="B54" s="179"/>
      <c r="C54" s="155"/>
      <c r="D54" s="155"/>
      <c r="E54" s="200" t="s">
        <v>19</v>
      </c>
      <c r="F54" s="155"/>
      <c r="G54" s="155"/>
      <c r="H54" s="155"/>
      <c r="I54" s="155"/>
      <c r="J54" s="155"/>
      <c r="K54" s="155"/>
      <c r="L54" s="155"/>
      <c r="M54" s="155"/>
      <c r="N54" s="155"/>
      <c r="O54" s="155"/>
      <c r="P54" s="155"/>
      <c r="Q54" s="155"/>
      <c r="R54" s="155"/>
      <c r="S54" s="15"/>
      <c r="T54" s="155"/>
      <c r="U54" s="155"/>
      <c r="V54" s="155"/>
      <c r="W54" s="155"/>
      <c r="X54" s="155"/>
      <c r="Y54" s="155"/>
      <c r="Z54" s="155"/>
      <c r="AA54" s="89"/>
      <c r="AB54" s="155"/>
      <c r="AC54" s="4"/>
      <c r="AD54" s="5"/>
    </row>
    <row r="55" spans="1:30" x14ac:dyDescent="0.4">
      <c r="A55" s="87" t="s">
        <v>108</v>
      </c>
      <c r="B55" s="179" t="s">
        <v>103</v>
      </c>
      <c r="C55" s="155"/>
      <c r="D55" s="155"/>
      <c r="E55" s="200" t="s">
        <v>19</v>
      </c>
      <c r="F55" s="155"/>
      <c r="G55" s="155"/>
      <c r="H55" s="155"/>
      <c r="I55" s="155"/>
      <c r="J55" s="155"/>
      <c r="K55" s="155"/>
      <c r="L55" s="155"/>
      <c r="M55" s="155"/>
      <c r="N55" s="155"/>
      <c r="O55" s="155"/>
      <c r="P55" s="155"/>
      <c r="Q55" s="155"/>
      <c r="R55" s="155"/>
      <c r="S55" s="15"/>
      <c r="T55" s="155"/>
      <c r="U55" s="155"/>
      <c r="V55" s="155"/>
      <c r="W55" s="155"/>
      <c r="X55" s="155"/>
      <c r="Y55" s="155"/>
      <c r="Z55" s="155"/>
      <c r="AA55" s="15"/>
      <c r="AB55" s="155"/>
      <c r="AC55" s="4"/>
      <c r="AD55" s="5"/>
    </row>
    <row r="56" spans="1:30" x14ac:dyDescent="0.4">
      <c r="A56" s="87" t="s">
        <v>110</v>
      </c>
      <c r="B56" s="179" t="s">
        <v>105</v>
      </c>
      <c r="C56" s="156">
        <v>36852.370000000003</v>
      </c>
      <c r="D56" s="156">
        <v>3071.0308333333332</v>
      </c>
      <c r="E56" s="200" t="s">
        <v>19</v>
      </c>
      <c r="F56" s="156">
        <v>523.16999999999996</v>
      </c>
      <c r="G56" s="156">
        <v>335</v>
      </c>
      <c r="H56" s="156">
        <v>279.73</v>
      </c>
      <c r="I56" s="155"/>
      <c r="J56" s="156">
        <v>584.29</v>
      </c>
      <c r="K56" s="156">
        <v>335</v>
      </c>
      <c r="L56" s="156">
        <v>249.29</v>
      </c>
      <c r="M56" s="156">
        <v>829.83</v>
      </c>
      <c r="N56" s="156">
        <v>171.97</v>
      </c>
      <c r="O56" s="156">
        <v>147.5</v>
      </c>
      <c r="P56" s="156">
        <v>385.79</v>
      </c>
      <c r="Q56" s="156">
        <v>470.52</v>
      </c>
      <c r="R56" s="156">
        <v>4312.09</v>
      </c>
      <c r="S56" s="15"/>
      <c r="T56" s="156">
        <v>481.77</v>
      </c>
      <c r="U56" s="156">
        <v>476.9</v>
      </c>
      <c r="V56" s="156">
        <v>757.84</v>
      </c>
      <c r="W56" s="156">
        <v>326.88</v>
      </c>
      <c r="X56" s="156">
        <v>477.33</v>
      </c>
      <c r="Y56" s="156">
        <v>477.31</v>
      </c>
      <c r="Z56" s="156">
        <v>2998.03</v>
      </c>
      <c r="AA56" s="89"/>
      <c r="AB56" s="210">
        <f t="shared" ref="AB56:AB73" si="12">SUM(F56:K56)</f>
        <v>2057.19</v>
      </c>
      <c r="AC56" s="224">
        <f>+Z56-AB56</f>
        <v>940.84000000000015</v>
      </c>
      <c r="AD56" s="8">
        <f t="shared" si="6"/>
        <v>0.45734229701680451</v>
      </c>
    </row>
    <row r="57" spans="1:30" x14ac:dyDescent="0.4">
      <c r="A57" s="87" t="s">
        <v>112</v>
      </c>
      <c r="B57" s="179" t="s">
        <v>109</v>
      </c>
      <c r="C57" s="156">
        <v>7174.01</v>
      </c>
      <c r="D57" s="156">
        <v>597.83416666666665</v>
      </c>
      <c r="E57" s="200" t="s">
        <v>19</v>
      </c>
      <c r="F57" s="156">
        <v>149.72</v>
      </c>
      <c r="G57" s="155"/>
      <c r="H57" s="156">
        <v>298.26</v>
      </c>
      <c r="I57" s="155"/>
      <c r="J57" s="156">
        <v>979.52</v>
      </c>
      <c r="K57" s="156">
        <v>259.54000000000002</v>
      </c>
      <c r="L57" s="155"/>
      <c r="M57" s="156">
        <v>360.86</v>
      </c>
      <c r="N57" s="156">
        <v>150</v>
      </c>
      <c r="O57" s="156">
        <v>562.09</v>
      </c>
      <c r="P57" s="156">
        <v>150</v>
      </c>
      <c r="Q57" s="156">
        <v>1527.2</v>
      </c>
      <c r="R57" s="156">
        <v>4437.1899999999996</v>
      </c>
      <c r="S57" s="15"/>
      <c r="T57" s="155"/>
      <c r="U57" s="156">
        <v>765.15</v>
      </c>
      <c r="V57" s="156">
        <v>765.15</v>
      </c>
      <c r="W57" s="155"/>
      <c r="X57" s="155"/>
      <c r="Y57" s="156">
        <v>2306.92</v>
      </c>
      <c r="Z57" s="156">
        <v>3837.22</v>
      </c>
      <c r="AA57" s="89"/>
      <c r="AB57" s="210">
        <f t="shared" si="12"/>
        <v>1687.04</v>
      </c>
      <c r="AC57" s="224">
        <f t="shared" ref="AC57:AC73" si="13">+Z57-AB57</f>
        <v>2150.1799999999998</v>
      </c>
      <c r="AD57" s="8">
        <f t="shared" ref="AD57:AD73" si="14">+AC57/AB57</f>
        <v>1.2745281676783005</v>
      </c>
    </row>
    <row r="58" spans="1:30" x14ac:dyDescent="0.4">
      <c r="A58" s="87" t="s">
        <v>114</v>
      </c>
      <c r="B58" s="179" t="s">
        <v>111</v>
      </c>
      <c r="C58" s="156">
        <v>21683.05</v>
      </c>
      <c r="D58" s="156">
        <v>1806.9208333333333</v>
      </c>
      <c r="E58" s="200" t="s">
        <v>19</v>
      </c>
      <c r="F58" s="155"/>
      <c r="G58" s="155"/>
      <c r="H58" s="155"/>
      <c r="I58" s="155"/>
      <c r="J58" s="155"/>
      <c r="K58" s="155"/>
      <c r="L58" s="155"/>
      <c r="M58" s="155"/>
      <c r="N58" s="155"/>
      <c r="O58" s="155"/>
      <c r="P58" s="155"/>
      <c r="Q58" s="155"/>
      <c r="R58" s="155"/>
      <c r="S58" s="15"/>
      <c r="T58" s="155"/>
      <c r="U58" s="155"/>
      <c r="V58" s="155"/>
      <c r="W58" s="155"/>
      <c r="X58" s="155"/>
      <c r="Y58" s="155"/>
      <c r="Z58" s="155"/>
      <c r="AA58" s="16"/>
      <c r="AB58" s="210">
        <f t="shared" si="12"/>
        <v>0</v>
      </c>
      <c r="AC58" s="224">
        <f t="shared" si="13"/>
        <v>0</v>
      </c>
      <c r="AD58" s="8" t="e">
        <f t="shared" si="14"/>
        <v>#DIV/0!</v>
      </c>
    </row>
    <row r="59" spans="1:30" x14ac:dyDescent="0.4">
      <c r="A59" s="87" t="s">
        <v>116</v>
      </c>
      <c r="B59" s="179" t="s">
        <v>113</v>
      </c>
      <c r="C59" s="156">
        <v>19</v>
      </c>
      <c r="D59" s="156">
        <v>1.5833333333333</v>
      </c>
      <c r="E59" s="200" t="s">
        <v>19</v>
      </c>
      <c r="F59" s="155"/>
      <c r="G59" s="155"/>
      <c r="H59" s="155"/>
      <c r="I59" s="155"/>
      <c r="J59" s="155"/>
      <c r="K59" s="155"/>
      <c r="L59" s="155"/>
      <c r="M59" s="155"/>
      <c r="N59" s="155"/>
      <c r="O59" s="155"/>
      <c r="P59" s="155"/>
      <c r="Q59" s="155"/>
      <c r="R59" s="155"/>
      <c r="S59" s="15"/>
      <c r="T59" s="155"/>
      <c r="U59" s="155"/>
      <c r="V59" s="155"/>
      <c r="W59" s="155"/>
      <c r="X59" s="155"/>
      <c r="Y59" s="155"/>
      <c r="Z59" s="155"/>
      <c r="AA59" s="16"/>
      <c r="AB59" s="210">
        <f t="shared" si="12"/>
        <v>0</v>
      </c>
      <c r="AC59" s="224">
        <f t="shared" si="13"/>
        <v>0</v>
      </c>
      <c r="AD59" s="8" t="e">
        <f t="shared" si="14"/>
        <v>#DIV/0!</v>
      </c>
    </row>
    <row r="60" spans="1:30" x14ac:dyDescent="0.4">
      <c r="A60" s="87"/>
      <c r="B60" s="179" t="s">
        <v>115</v>
      </c>
      <c r="C60" s="156">
        <v>104159.91</v>
      </c>
      <c r="D60" s="156">
        <v>8679.9925000000003</v>
      </c>
      <c r="E60" s="200" t="s">
        <v>19</v>
      </c>
      <c r="F60" s="156">
        <v>2627.5</v>
      </c>
      <c r="G60" s="156">
        <v>8537.5</v>
      </c>
      <c r="H60" s="156">
        <v>3470</v>
      </c>
      <c r="I60" s="156">
        <v>29377.71</v>
      </c>
      <c r="J60" s="156">
        <v>16791.080000000002</v>
      </c>
      <c r="K60" s="156">
        <v>14693.35</v>
      </c>
      <c r="L60" s="156">
        <v>15558.21</v>
      </c>
      <c r="M60" s="156">
        <v>12781.2</v>
      </c>
      <c r="N60" s="156">
        <v>16491.89</v>
      </c>
      <c r="O60" s="156">
        <v>17820.02</v>
      </c>
      <c r="P60" s="156">
        <v>19618.46</v>
      </c>
      <c r="Q60" s="156">
        <v>13040.56</v>
      </c>
      <c r="R60" s="156">
        <v>170807.48</v>
      </c>
      <c r="S60" s="15"/>
      <c r="T60" s="156">
        <v>17801.009999999998</v>
      </c>
      <c r="U60" s="156">
        <v>6900.43</v>
      </c>
      <c r="V60" s="156">
        <v>17595.5</v>
      </c>
      <c r="W60" s="156">
        <v>15530.22</v>
      </c>
      <c r="X60" s="156">
        <v>20278.439999999999</v>
      </c>
      <c r="Y60" s="156">
        <v>23706.68</v>
      </c>
      <c r="Z60" s="156">
        <v>101812.28</v>
      </c>
      <c r="AA60" s="89"/>
      <c r="AB60" s="210">
        <f t="shared" si="12"/>
        <v>75497.14</v>
      </c>
      <c r="AC60" s="224">
        <f t="shared" si="13"/>
        <v>26315.14</v>
      </c>
      <c r="AD60" s="8">
        <f t="shared" si="14"/>
        <v>0.34855810432024315</v>
      </c>
    </row>
    <row r="61" spans="1:30" x14ac:dyDescent="0.4">
      <c r="A61" s="87" t="s">
        <v>128</v>
      </c>
      <c r="B61" s="179" t="s">
        <v>117</v>
      </c>
      <c r="C61" s="156">
        <v>22733.25</v>
      </c>
      <c r="D61" s="156">
        <v>1894.4375</v>
      </c>
      <c r="E61" s="200" t="s">
        <v>19</v>
      </c>
      <c r="F61" s="155"/>
      <c r="G61" s="155"/>
      <c r="H61" s="155"/>
      <c r="I61" s="155"/>
      <c r="J61" s="155"/>
      <c r="K61" s="155"/>
      <c r="L61" s="155"/>
      <c r="M61" s="155"/>
      <c r="N61" s="155"/>
      <c r="O61" s="155"/>
      <c r="P61" s="155"/>
      <c r="Q61" s="155"/>
      <c r="R61" s="155"/>
      <c r="S61" s="15"/>
      <c r="T61" s="155"/>
      <c r="U61" s="155"/>
      <c r="V61" s="155"/>
      <c r="W61" s="155"/>
      <c r="X61" s="155"/>
      <c r="Y61" s="155"/>
      <c r="Z61" s="155"/>
      <c r="AA61" s="89"/>
      <c r="AB61" s="210">
        <f t="shared" si="12"/>
        <v>0</v>
      </c>
      <c r="AC61" s="224">
        <f t="shared" si="13"/>
        <v>0</v>
      </c>
      <c r="AD61" s="8" t="e">
        <f t="shared" si="14"/>
        <v>#DIV/0!</v>
      </c>
    </row>
    <row r="62" spans="1:30" x14ac:dyDescent="0.4">
      <c r="A62" s="87" t="s">
        <v>130</v>
      </c>
      <c r="B62" s="179" t="s">
        <v>127</v>
      </c>
      <c r="C62" s="155"/>
      <c r="D62" s="156"/>
      <c r="E62" s="200" t="s">
        <v>19</v>
      </c>
      <c r="F62" s="155"/>
      <c r="G62" s="155"/>
      <c r="H62" s="155"/>
      <c r="I62" s="155"/>
      <c r="J62" s="155"/>
      <c r="K62" s="155"/>
      <c r="L62" s="155"/>
      <c r="M62" s="155"/>
      <c r="N62" s="156">
        <v>40.78</v>
      </c>
      <c r="O62" s="155"/>
      <c r="P62" s="155"/>
      <c r="Q62" s="155"/>
      <c r="R62" s="156">
        <v>40.78</v>
      </c>
      <c r="S62" s="15"/>
      <c r="T62" s="155"/>
      <c r="U62" s="155"/>
      <c r="V62" s="155"/>
      <c r="W62" s="155"/>
      <c r="X62" s="155"/>
      <c r="Y62" s="155"/>
      <c r="Z62" s="155"/>
      <c r="AA62" s="89"/>
      <c r="AB62" s="210">
        <f t="shared" si="12"/>
        <v>0</v>
      </c>
      <c r="AC62" s="224">
        <f t="shared" si="13"/>
        <v>0</v>
      </c>
      <c r="AD62" s="8" t="e">
        <f t="shared" si="14"/>
        <v>#DIV/0!</v>
      </c>
    </row>
    <row r="63" spans="1:30" x14ac:dyDescent="0.4">
      <c r="A63" s="87" t="s">
        <v>132</v>
      </c>
      <c r="B63" s="179" t="s">
        <v>129</v>
      </c>
      <c r="C63" s="156">
        <v>40253.53</v>
      </c>
      <c r="D63" s="156">
        <v>3354.4608333333331</v>
      </c>
      <c r="E63" s="200" t="s">
        <v>19</v>
      </c>
      <c r="F63" s="156">
        <v>4795.5</v>
      </c>
      <c r="G63" s="156">
        <v>3699.4</v>
      </c>
      <c r="H63" s="156">
        <v>2333.59</v>
      </c>
      <c r="I63" s="156">
        <v>2566.29</v>
      </c>
      <c r="J63" s="156">
        <v>2351.79</v>
      </c>
      <c r="K63" s="156">
        <v>6175.99</v>
      </c>
      <c r="L63" s="156">
        <v>4604.4399999999996</v>
      </c>
      <c r="M63" s="156">
        <v>4060.69</v>
      </c>
      <c r="N63" s="156">
        <v>4792.7299999999996</v>
      </c>
      <c r="O63" s="156">
        <v>3942.47</v>
      </c>
      <c r="P63" s="156">
        <v>4136.49</v>
      </c>
      <c r="Q63" s="156">
        <v>3166.11</v>
      </c>
      <c r="R63" s="156">
        <v>46625.49</v>
      </c>
      <c r="S63" s="91"/>
      <c r="T63" s="156">
        <v>3674.39</v>
      </c>
      <c r="U63" s="156">
        <v>3481.39</v>
      </c>
      <c r="V63" s="156">
        <v>3569.34</v>
      </c>
      <c r="W63" s="156">
        <v>8287.19</v>
      </c>
      <c r="X63" s="156">
        <v>12900.53</v>
      </c>
      <c r="Y63" s="156">
        <v>9019.02</v>
      </c>
      <c r="Z63" s="156">
        <v>40931.86</v>
      </c>
      <c r="AA63" s="16"/>
      <c r="AB63" s="210">
        <f t="shared" si="12"/>
        <v>21922.559999999998</v>
      </c>
      <c r="AC63" s="224">
        <f t="shared" si="13"/>
        <v>19009.300000000003</v>
      </c>
      <c r="AD63" s="8">
        <f t="shared" si="14"/>
        <v>0.86711132276522473</v>
      </c>
    </row>
    <row r="64" spans="1:30" x14ac:dyDescent="0.4">
      <c r="A64" s="87" t="s">
        <v>134</v>
      </c>
      <c r="B64" s="179" t="s">
        <v>131</v>
      </c>
      <c r="C64" s="156">
        <v>6945.45</v>
      </c>
      <c r="D64" s="156">
        <v>578.78750000000002</v>
      </c>
      <c r="E64" s="200" t="s">
        <v>19</v>
      </c>
      <c r="F64" s="155"/>
      <c r="G64" s="155"/>
      <c r="H64" s="155"/>
      <c r="I64" s="155"/>
      <c r="J64" s="155"/>
      <c r="K64" s="155"/>
      <c r="L64" s="155"/>
      <c r="M64" s="155"/>
      <c r="N64" s="155"/>
      <c r="O64" s="155"/>
      <c r="P64" s="155"/>
      <c r="Q64" s="155"/>
      <c r="R64" s="155"/>
      <c r="S64" s="15"/>
      <c r="T64" s="156"/>
      <c r="U64" s="156"/>
      <c r="V64" s="156"/>
      <c r="W64" s="156"/>
      <c r="X64" s="156"/>
      <c r="Y64" s="156"/>
      <c r="Z64" s="156"/>
      <c r="AA64" s="89"/>
      <c r="AB64" s="210">
        <f t="shared" si="12"/>
        <v>0</v>
      </c>
      <c r="AC64" s="224">
        <f t="shared" si="13"/>
        <v>0</v>
      </c>
      <c r="AD64" s="8" t="e">
        <f t="shared" si="14"/>
        <v>#DIV/0!</v>
      </c>
    </row>
    <row r="65" spans="1:30" x14ac:dyDescent="0.4">
      <c r="A65" s="87" t="s">
        <v>136</v>
      </c>
      <c r="B65" s="179" t="s">
        <v>133</v>
      </c>
      <c r="C65" s="156">
        <v>7660.8</v>
      </c>
      <c r="D65" s="156">
        <v>638.4</v>
      </c>
      <c r="E65" s="200" t="s">
        <v>19</v>
      </c>
      <c r="F65" s="156">
        <v>341.65</v>
      </c>
      <c r="G65" s="156">
        <v>428.63</v>
      </c>
      <c r="H65" s="156">
        <v>599.02</v>
      </c>
      <c r="I65" s="156">
        <v>3223.57</v>
      </c>
      <c r="J65" s="156">
        <v>380.2</v>
      </c>
      <c r="K65" s="156">
        <v>1033.5</v>
      </c>
      <c r="L65" s="156">
        <v>107.76</v>
      </c>
      <c r="M65" s="156">
        <v>250.15</v>
      </c>
      <c r="N65" s="156">
        <v>140</v>
      </c>
      <c r="O65" s="156">
        <v>142.25</v>
      </c>
      <c r="P65" s="156">
        <v>147</v>
      </c>
      <c r="Q65" s="156">
        <v>153.5</v>
      </c>
      <c r="R65" s="156">
        <v>6947.23</v>
      </c>
      <c r="S65" s="15"/>
      <c r="T65" s="156">
        <v>179</v>
      </c>
      <c r="U65" s="156">
        <v>188.25</v>
      </c>
      <c r="V65" s="156">
        <v>350</v>
      </c>
      <c r="W65" s="156">
        <v>-17.12</v>
      </c>
      <c r="X65" s="156">
        <v>12</v>
      </c>
      <c r="Y65" s="156">
        <v>159.5</v>
      </c>
      <c r="Z65" s="156">
        <v>871.63</v>
      </c>
      <c r="AA65" s="16"/>
      <c r="AB65" s="210">
        <f t="shared" si="12"/>
        <v>6006.57</v>
      </c>
      <c r="AC65" s="224">
        <f t="shared" si="13"/>
        <v>-5134.9399999999996</v>
      </c>
      <c r="AD65" s="8">
        <f t="shared" si="14"/>
        <v>-0.85488723181449644</v>
      </c>
    </row>
    <row r="66" spans="1:30" x14ac:dyDescent="0.4">
      <c r="A66" s="87" t="s">
        <v>140</v>
      </c>
      <c r="B66" s="179" t="s">
        <v>135</v>
      </c>
      <c r="C66" s="156">
        <v>31291.200000000001</v>
      </c>
      <c r="D66" s="156">
        <v>2607.6</v>
      </c>
      <c r="E66" s="200" t="s">
        <v>19</v>
      </c>
      <c r="F66" s="156">
        <v>2012.4</v>
      </c>
      <c r="G66" s="156">
        <v>2533.81</v>
      </c>
      <c r="H66" s="156">
        <v>6607.44</v>
      </c>
      <c r="I66" s="156">
        <v>9465.59</v>
      </c>
      <c r="J66" s="156">
        <v>4790.67</v>
      </c>
      <c r="K66" s="156">
        <v>767.14</v>
      </c>
      <c r="L66" s="156">
        <v>1429.45</v>
      </c>
      <c r="M66" s="156">
        <v>4076</v>
      </c>
      <c r="N66" s="156">
        <v>14310.72</v>
      </c>
      <c r="O66" s="156">
        <v>5516.65</v>
      </c>
      <c r="P66" s="156">
        <v>3318.49</v>
      </c>
      <c r="Q66" s="156">
        <v>2756.09</v>
      </c>
      <c r="R66" s="156">
        <v>57584.45</v>
      </c>
      <c r="S66" s="15"/>
      <c r="T66" s="156">
        <v>2712.54</v>
      </c>
      <c r="U66" s="156">
        <v>2828.68</v>
      </c>
      <c r="V66" s="156">
        <v>1339.8</v>
      </c>
      <c r="W66" s="156">
        <v>1462.27</v>
      </c>
      <c r="X66" s="156">
        <v>1761.09</v>
      </c>
      <c r="Y66" s="156">
        <v>3053.54</v>
      </c>
      <c r="Z66" s="156">
        <v>13157.92</v>
      </c>
      <c r="AA66" s="16"/>
      <c r="AB66" s="210">
        <f t="shared" si="12"/>
        <v>26177.049999999996</v>
      </c>
      <c r="AC66" s="224">
        <f t="shared" si="13"/>
        <v>-13019.129999999996</v>
      </c>
      <c r="AD66" s="8">
        <f t="shared" si="14"/>
        <v>-0.49734901373531387</v>
      </c>
    </row>
    <row r="67" spans="1:30" x14ac:dyDescent="0.4">
      <c r="A67" s="87" t="s">
        <v>142</v>
      </c>
      <c r="B67" s="179" t="s">
        <v>137</v>
      </c>
      <c r="C67" s="156">
        <v>6833.25</v>
      </c>
      <c r="D67" s="156">
        <v>569.4375</v>
      </c>
      <c r="E67" s="200" t="s">
        <v>19</v>
      </c>
      <c r="F67" s="155"/>
      <c r="G67" s="155"/>
      <c r="H67" s="155"/>
      <c r="I67" s="155"/>
      <c r="J67" s="155"/>
      <c r="K67" s="155"/>
      <c r="L67" s="155"/>
      <c r="M67" s="155"/>
      <c r="N67" s="155"/>
      <c r="O67" s="155"/>
      <c r="P67" s="155"/>
      <c r="Q67" s="155"/>
      <c r="R67" s="155"/>
      <c r="S67" s="91"/>
      <c r="T67" s="156"/>
      <c r="U67" s="156"/>
      <c r="V67" s="156"/>
      <c r="W67" s="156"/>
      <c r="X67" s="156"/>
      <c r="Y67" s="156"/>
      <c r="Z67" s="156"/>
      <c r="AA67" s="89"/>
      <c r="AB67" s="210">
        <f t="shared" si="12"/>
        <v>0</v>
      </c>
      <c r="AC67" s="224">
        <f t="shared" si="13"/>
        <v>0</v>
      </c>
      <c r="AD67" s="8" t="e">
        <f t="shared" si="14"/>
        <v>#DIV/0!</v>
      </c>
    </row>
    <row r="68" spans="1:30" x14ac:dyDescent="0.4">
      <c r="A68" s="87" t="s">
        <v>144</v>
      </c>
      <c r="B68" s="179" t="s">
        <v>141</v>
      </c>
      <c r="C68" s="156">
        <v>73443.41</v>
      </c>
      <c r="D68" s="156">
        <v>6120.2841666666664</v>
      </c>
      <c r="E68" s="200" t="s">
        <v>19</v>
      </c>
      <c r="F68" s="156">
        <v>5300</v>
      </c>
      <c r="G68" s="156">
        <v>5693</v>
      </c>
      <c r="H68" s="155"/>
      <c r="I68" s="156">
        <v>5300</v>
      </c>
      <c r="J68" s="156">
        <v>5300</v>
      </c>
      <c r="K68" s="156">
        <v>5300</v>
      </c>
      <c r="L68" s="156">
        <v>5300</v>
      </c>
      <c r="M68" s="156">
        <v>5300</v>
      </c>
      <c r="N68" s="156">
        <v>5300</v>
      </c>
      <c r="O68" s="156">
        <v>5300</v>
      </c>
      <c r="P68" s="156">
        <v>5300</v>
      </c>
      <c r="Q68" s="156">
        <v>5300</v>
      </c>
      <c r="R68" s="156">
        <v>58693</v>
      </c>
      <c r="S68" s="15"/>
      <c r="T68" s="156">
        <v>5300</v>
      </c>
      <c r="U68" s="156">
        <v>5300</v>
      </c>
      <c r="V68" s="156">
        <v>5300</v>
      </c>
      <c r="W68" s="156">
        <v>5300</v>
      </c>
      <c r="X68" s="156">
        <v>5300</v>
      </c>
      <c r="Y68" s="155"/>
      <c r="Z68" s="156">
        <v>26500</v>
      </c>
      <c r="AA68" s="16"/>
      <c r="AB68" s="210">
        <f t="shared" si="12"/>
        <v>26893</v>
      </c>
      <c r="AC68" s="224">
        <f t="shared" si="13"/>
        <v>-393</v>
      </c>
      <c r="AD68" s="8">
        <f t="shared" si="14"/>
        <v>-1.4613468188748001E-2</v>
      </c>
    </row>
    <row r="69" spans="1:30" x14ac:dyDescent="0.4">
      <c r="A69" s="87" t="s">
        <v>146</v>
      </c>
      <c r="B69" s="179" t="s">
        <v>143</v>
      </c>
      <c r="C69" s="156">
        <v>10349.52</v>
      </c>
      <c r="D69" s="156">
        <v>862.46</v>
      </c>
      <c r="E69" s="200" t="s">
        <v>19</v>
      </c>
      <c r="F69" s="156">
        <v>451.29</v>
      </c>
      <c r="G69" s="156">
        <v>433.32</v>
      </c>
      <c r="H69" s="156">
        <v>873.36</v>
      </c>
      <c r="I69" s="155"/>
      <c r="J69" s="156">
        <v>488.64</v>
      </c>
      <c r="K69" s="155"/>
      <c r="L69" s="156">
        <v>447.81</v>
      </c>
      <c r="M69" s="156">
        <v>861.24</v>
      </c>
      <c r="N69" s="156">
        <v>831.1</v>
      </c>
      <c r="O69" s="155"/>
      <c r="P69" s="155"/>
      <c r="Q69" s="156">
        <v>406.98</v>
      </c>
      <c r="R69" s="156">
        <v>4793.74</v>
      </c>
      <c r="S69" s="15"/>
      <c r="T69" s="156">
        <v>406.98</v>
      </c>
      <c r="U69" s="156">
        <v>406.98</v>
      </c>
      <c r="V69" s="156">
        <v>406.98</v>
      </c>
      <c r="W69" s="156">
        <v>424.37</v>
      </c>
      <c r="X69" s="156">
        <v>389.59</v>
      </c>
      <c r="Y69" s="156">
        <v>406.98</v>
      </c>
      <c r="Z69" s="156">
        <v>2441.88</v>
      </c>
      <c r="AA69" s="16"/>
      <c r="AB69" s="210">
        <f t="shared" si="12"/>
        <v>2246.61</v>
      </c>
      <c r="AC69" s="224">
        <f t="shared" si="13"/>
        <v>195.26999999999998</v>
      </c>
      <c r="AD69" s="8">
        <f t="shared" si="14"/>
        <v>8.6917622551310622E-2</v>
      </c>
    </row>
    <row r="70" spans="1:30" x14ac:dyDescent="0.4">
      <c r="A70" s="87" t="s">
        <v>148</v>
      </c>
      <c r="B70" s="179" t="s">
        <v>145</v>
      </c>
      <c r="C70" s="156">
        <v>2041</v>
      </c>
      <c r="D70" s="156">
        <v>170.08333333333329</v>
      </c>
      <c r="E70" s="200" t="s">
        <v>19</v>
      </c>
      <c r="F70" s="156">
        <v>168</v>
      </c>
      <c r="G70" s="156">
        <v>188</v>
      </c>
      <c r="H70" s="156">
        <v>191</v>
      </c>
      <c r="I70" s="156">
        <v>191</v>
      </c>
      <c r="J70" s="156">
        <v>191</v>
      </c>
      <c r="K70" s="156">
        <v>191</v>
      </c>
      <c r="L70" s="156">
        <v>191</v>
      </c>
      <c r="M70" s="156">
        <v>191</v>
      </c>
      <c r="N70" s="155"/>
      <c r="O70" s="156">
        <v>422</v>
      </c>
      <c r="P70" s="155"/>
      <c r="Q70" s="155"/>
      <c r="R70" s="156">
        <v>1924</v>
      </c>
      <c r="S70" s="15"/>
      <c r="T70" s="156">
        <v>613</v>
      </c>
      <c r="U70" s="156">
        <v>226</v>
      </c>
      <c r="V70" s="156">
        <v>221</v>
      </c>
      <c r="W70" s="156">
        <v>221</v>
      </c>
      <c r="X70" s="156">
        <v>221</v>
      </c>
      <c r="Y70" s="156">
        <v>221</v>
      </c>
      <c r="Z70" s="156">
        <v>1723</v>
      </c>
      <c r="AA70" s="16"/>
      <c r="AB70" s="210">
        <f t="shared" si="12"/>
        <v>1120</v>
      </c>
      <c r="AC70" s="224">
        <f t="shared" si="13"/>
        <v>603</v>
      </c>
      <c r="AD70" s="8">
        <f t="shared" si="14"/>
        <v>0.53839285714285712</v>
      </c>
    </row>
    <row r="71" spans="1:30" x14ac:dyDescent="0.4">
      <c r="A71" s="87"/>
      <c r="B71" s="179" t="s">
        <v>147</v>
      </c>
      <c r="C71" s="155"/>
      <c r="D71" s="156"/>
      <c r="E71" s="200" t="s">
        <v>19</v>
      </c>
      <c r="F71" s="155"/>
      <c r="G71" s="155"/>
      <c r="H71" s="155"/>
      <c r="I71" s="155"/>
      <c r="J71" s="156">
        <v>16172.55</v>
      </c>
      <c r="K71" s="156">
        <v>1308.96</v>
      </c>
      <c r="L71" s="155"/>
      <c r="M71" s="156">
        <v>1524.1</v>
      </c>
      <c r="N71" s="155"/>
      <c r="O71" s="156">
        <v>1524.1</v>
      </c>
      <c r="P71" s="155"/>
      <c r="Q71" s="155"/>
      <c r="R71" s="156">
        <v>20529.71</v>
      </c>
      <c r="S71" s="91"/>
      <c r="T71" s="155"/>
      <c r="U71" s="155"/>
      <c r="V71" s="155"/>
      <c r="W71" s="155"/>
      <c r="X71" s="155"/>
      <c r="Y71" s="155"/>
      <c r="Z71" s="155"/>
      <c r="AA71" s="16"/>
      <c r="AB71" s="210">
        <f t="shared" si="12"/>
        <v>17481.509999999998</v>
      </c>
      <c r="AC71" s="224">
        <f t="shared" si="13"/>
        <v>-17481.509999999998</v>
      </c>
      <c r="AD71" s="8">
        <f t="shared" si="14"/>
        <v>-1</v>
      </c>
    </row>
    <row r="72" spans="1:30" x14ac:dyDescent="0.4">
      <c r="A72" s="87" t="s">
        <v>152</v>
      </c>
      <c r="B72" s="179" t="s">
        <v>149</v>
      </c>
      <c r="C72" s="156">
        <v>900</v>
      </c>
      <c r="D72" s="156">
        <v>75</v>
      </c>
      <c r="E72" s="200" t="s">
        <v>19</v>
      </c>
      <c r="F72" s="155"/>
      <c r="G72" s="155"/>
      <c r="H72" s="155"/>
      <c r="I72" s="156">
        <v>3700</v>
      </c>
      <c r="J72" s="155"/>
      <c r="K72" s="155"/>
      <c r="L72" s="155"/>
      <c r="M72" s="155"/>
      <c r="N72" s="155"/>
      <c r="O72" s="155"/>
      <c r="P72" s="155"/>
      <c r="Q72" s="155"/>
      <c r="R72" s="156">
        <v>3700</v>
      </c>
      <c r="S72" s="91"/>
      <c r="T72" s="155"/>
      <c r="U72" s="155"/>
      <c r="V72" s="155"/>
      <c r="W72" s="155"/>
      <c r="X72" s="155"/>
      <c r="Y72" s="155"/>
      <c r="Z72" s="155"/>
      <c r="AA72" s="16"/>
      <c r="AB72" s="210">
        <f t="shared" si="12"/>
        <v>3700</v>
      </c>
      <c r="AC72" s="224">
        <f t="shared" si="13"/>
        <v>-3700</v>
      </c>
      <c r="AD72" s="8">
        <f t="shared" si="14"/>
        <v>-1</v>
      </c>
    </row>
    <row r="73" spans="1:30" x14ac:dyDescent="0.4">
      <c r="A73" s="87"/>
      <c r="B73" s="179" t="s">
        <v>153</v>
      </c>
      <c r="C73" s="158">
        <v>5460.79</v>
      </c>
      <c r="D73" s="158">
        <v>455.06583333333327</v>
      </c>
      <c r="E73" s="200" t="s">
        <v>19</v>
      </c>
      <c r="F73" s="157"/>
      <c r="G73" s="157"/>
      <c r="H73" s="157"/>
      <c r="I73" s="157"/>
      <c r="J73" s="157"/>
      <c r="K73" s="157"/>
      <c r="L73" s="157"/>
      <c r="M73" s="157"/>
      <c r="N73" s="157"/>
      <c r="O73" s="157"/>
      <c r="P73" s="157"/>
      <c r="Q73" s="157"/>
      <c r="R73" s="157"/>
      <c r="S73" s="15"/>
      <c r="T73" s="157"/>
      <c r="U73" s="157"/>
      <c r="V73" s="157"/>
      <c r="W73" s="157"/>
      <c r="X73" s="157"/>
      <c r="Y73" s="157"/>
      <c r="Z73" s="157"/>
      <c r="AA73" s="91"/>
      <c r="AB73" s="213">
        <f t="shared" si="12"/>
        <v>0</v>
      </c>
      <c r="AC73" s="11">
        <f t="shared" si="13"/>
        <v>0</v>
      </c>
      <c r="AD73" s="12" t="e">
        <f t="shared" si="14"/>
        <v>#DIV/0!</v>
      </c>
    </row>
    <row r="74" spans="1:30" x14ac:dyDescent="0.4">
      <c r="A74" s="87"/>
      <c r="B74" s="179" t="s">
        <v>154</v>
      </c>
      <c r="C74" s="158">
        <v>377800.54</v>
      </c>
      <c r="D74" s="158">
        <v>31483.378333333334</v>
      </c>
      <c r="E74" s="200" t="s">
        <v>19</v>
      </c>
      <c r="F74" s="158">
        <v>16369.23</v>
      </c>
      <c r="G74" s="158">
        <v>21848.66</v>
      </c>
      <c r="H74" s="158">
        <v>14652.4</v>
      </c>
      <c r="I74" s="158">
        <v>53824.160000000003</v>
      </c>
      <c r="J74" s="158">
        <v>48029.74</v>
      </c>
      <c r="K74" s="158">
        <v>30064.48</v>
      </c>
      <c r="L74" s="158">
        <v>27887.96</v>
      </c>
      <c r="M74" s="158">
        <v>30235.07</v>
      </c>
      <c r="N74" s="158">
        <v>42229.19</v>
      </c>
      <c r="O74" s="158">
        <v>35377.08</v>
      </c>
      <c r="P74" s="158">
        <v>33056.230000000003</v>
      </c>
      <c r="Q74" s="158">
        <v>26820.959999999999</v>
      </c>
      <c r="R74" s="158">
        <v>380395.16</v>
      </c>
      <c r="S74" s="15"/>
      <c r="T74" s="158">
        <v>31168.69</v>
      </c>
      <c r="U74" s="158">
        <v>20573.78</v>
      </c>
      <c r="V74" s="158">
        <v>30305.61</v>
      </c>
      <c r="W74" s="158">
        <v>31534.81</v>
      </c>
      <c r="X74" s="158">
        <v>41339.980000000003</v>
      </c>
      <c r="Y74" s="158">
        <v>39350.949999999997</v>
      </c>
      <c r="Z74" s="158">
        <v>194273.82</v>
      </c>
      <c r="AA74" s="15"/>
      <c r="AB74" s="158">
        <f>SUM(AB56:AB73)</f>
        <v>184788.66999999998</v>
      </c>
      <c r="AC74" s="158">
        <f>SUM(AC56:AC73)</f>
        <v>9485.1500000000087</v>
      </c>
      <c r="AD74" s="12">
        <f t="shared" si="6"/>
        <v>5.132971626453077E-2</v>
      </c>
    </row>
    <row r="75" spans="1:30" x14ac:dyDescent="0.4">
      <c r="A75" s="87"/>
      <c r="B75" s="179"/>
      <c r="C75" s="155"/>
      <c r="D75" s="155"/>
      <c r="E75" s="200" t="s">
        <v>19</v>
      </c>
      <c r="F75" s="155"/>
      <c r="G75" s="155"/>
      <c r="H75" s="155"/>
      <c r="I75" s="155"/>
      <c r="J75" s="155"/>
      <c r="K75" s="155"/>
      <c r="L75" s="155"/>
      <c r="M75" s="155"/>
      <c r="N75" s="155"/>
      <c r="O75" s="155"/>
      <c r="P75" s="155"/>
      <c r="Q75" s="155"/>
      <c r="R75" s="155"/>
      <c r="S75" s="15"/>
      <c r="T75" s="155"/>
      <c r="U75" s="155"/>
      <c r="V75" s="155"/>
      <c r="W75" s="155"/>
      <c r="X75" s="155"/>
      <c r="Y75" s="155"/>
      <c r="Z75" s="155"/>
      <c r="AA75" s="89"/>
      <c r="AB75" s="155"/>
      <c r="AC75" s="4"/>
      <c r="AD75" s="5"/>
    </row>
    <row r="76" spans="1:30" x14ac:dyDescent="0.4">
      <c r="A76" s="87" t="s">
        <v>155</v>
      </c>
      <c r="B76" s="179" t="s">
        <v>59</v>
      </c>
      <c r="C76" s="155"/>
      <c r="D76" s="155"/>
      <c r="E76" s="200" t="s">
        <v>19</v>
      </c>
      <c r="F76" s="155"/>
      <c r="G76" s="155"/>
      <c r="H76" s="155"/>
      <c r="I76" s="155"/>
      <c r="J76" s="155"/>
      <c r="K76" s="155"/>
      <c r="L76" s="155"/>
      <c r="M76" s="155"/>
      <c r="N76" s="155"/>
      <c r="O76" s="155"/>
      <c r="P76" s="155"/>
      <c r="Q76" s="155"/>
      <c r="R76" s="155"/>
      <c r="S76" s="15"/>
      <c r="T76" s="155"/>
      <c r="U76" s="155"/>
      <c r="V76" s="155"/>
      <c r="W76" s="155"/>
      <c r="X76" s="155"/>
      <c r="Y76" s="155"/>
      <c r="Z76" s="155"/>
      <c r="AA76" s="89"/>
      <c r="AB76" s="155"/>
      <c r="AC76" s="4"/>
      <c r="AD76" s="5"/>
    </row>
    <row r="77" spans="1:30" x14ac:dyDescent="0.4">
      <c r="A77" s="87" t="s">
        <v>157</v>
      </c>
      <c r="B77" s="179" t="s">
        <v>156</v>
      </c>
      <c r="C77" s="156">
        <v>8164.51</v>
      </c>
      <c r="D77" s="156">
        <v>680.37583333333328</v>
      </c>
      <c r="E77" s="200" t="s">
        <v>19</v>
      </c>
      <c r="F77" s="155"/>
      <c r="G77" s="155"/>
      <c r="H77" s="155"/>
      <c r="I77" s="156">
        <v>1120</v>
      </c>
      <c r="J77" s="155"/>
      <c r="K77" s="155"/>
      <c r="L77" s="155"/>
      <c r="M77" s="155"/>
      <c r="N77" s="155"/>
      <c r="O77" s="155"/>
      <c r="P77" s="155"/>
      <c r="Q77" s="155"/>
      <c r="R77" s="156">
        <v>1120</v>
      </c>
      <c r="S77" s="15"/>
      <c r="T77" s="155"/>
      <c r="U77" s="155"/>
      <c r="V77" s="155"/>
      <c r="W77" s="155"/>
      <c r="X77" s="155"/>
      <c r="Y77" s="155"/>
      <c r="Z77" s="155"/>
      <c r="AA77" s="16"/>
      <c r="AB77" s="210">
        <f t="shared" ref="AB77:AB84" si="15">SUM(F77:K77)</f>
        <v>1120</v>
      </c>
      <c r="AC77" s="224">
        <f>+Z77-AB77</f>
        <v>-1120</v>
      </c>
      <c r="AD77" s="8">
        <f t="shared" si="6"/>
        <v>-1</v>
      </c>
    </row>
    <row r="78" spans="1:30" x14ac:dyDescent="0.4">
      <c r="A78" s="87" t="s">
        <v>163</v>
      </c>
      <c r="B78" s="179" t="s">
        <v>158</v>
      </c>
      <c r="C78" s="156">
        <v>14665</v>
      </c>
      <c r="D78" s="156">
        <v>1222.0833333333333</v>
      </c>
      <c r="E78" s="200" t="s">
        <v>19</v>
      </c>
      <c r="F78" s="156">
        <v>500</v>
      </c>
      <c r="G78" s="155"/>
      <c r="H78" s="155"/>
      <c r="I78" s="155"/>
      <c r="J78" s="156">
        <v>3455</v>
      </c>
      <c r="K78" s="155"/>
      <c r="L78" s="155"/>
      <c r="M78" s="155"/>
      <c r="N78" s="155"/>
      <c r="O78" s="156">
        <v>2591.25</v>
      </c>
      <c r="P78" s="155"/>
      <c r="Q78" s="155"/>
      <c r="R78" s="156">
        <v>6546.25</v>
      </c>
      <c r="S78" s="15"/>
      <c r="T78" s="155"/>
      <c r="U78" s="155"/>
      <c r="V78" s="155"/>
      <c r="W78" s="156">
        <v>4275</v>
      </c>
      <c r="X78" s="155"/>
      <c r="Y78" s="155"/>
      <c r="Z78" s="156">
        <v>4275</v>
      </c>
      <c r="AA78" s="16"/>
      <c r="AB78" s="210">
        <f t="shared" si="15"/>
        <v>3955</v>
      </c>
      <c r="AC78" s="224">
        <f t="shared" ref="AC78:AC84" si="16">+Z78-AB78</f>
        <v>320</v>
      </c>
      <c r="AD78" s="8">
        <f t="shared" ref="AD78:AD84" si="17">+AC78/AB78</f>
        <v>8.0910240202275607E-2</v>
      </c>
    </row>
    <row r="79" spans="1:30" x14ac:dyDescent="0.4">
      <c r="A79" s="87" t="s">
        <v>165</v>
      </c>
      <c r="B79" s="179" t="s">
        <v>164</v>
      </c>
      <c r="C79" s="156">
        <v>2000</v>
      </c>
      <c r="D79" s="156">
        <v>166.66666666666671</v>
      </c>
      <c r="E79" s="200" t="s">
        <v>19</v>
      </c>
      <c r="F79" s="155"/>
      <c r="G79" s="155"/>
      <c r="H79" s="155"/>
      <c r="I79" s="155"/>
      <c r="J79" s="155"/>
      <c r="K79" s="155"/>
      <c r="L79" s="155"/>
      <c r="M79" s="155"/>
      <c r="N79" s="155"/>
      <c r="O79" s="155"/>
      <c r="P79" s="155"/>
      <c r="Q79" s="155"/>
      <c r="R79" s="155"/>
      <c r="S79" s="15"/>
      <c r="T79" s="155"/>
      <c r="U79" s="155"/>
      <c r="V79" s="155"/>
      <c r="W79" s="155"/>
      <c r="X79" s="155"/>
      <c r="Y79" s="155"/>
      <c r="Z79" s="155"/>
      <c r="AA79" s="89"/>
      <c r="AB79" s="210">
        <f t="shared" si="15"/>
        <v>0</v>
      </c>
      <c r="AC79" s="224">
        <f t="shared" si="16"/>
        <v>0</v>
      </c>
      <c r="AD79" s="8" t="e">
        <f t="shared" si="17"/>
        <v>#DIV/0!</v>
      </c>
    </row>
    <row r="80" spans="1:30" x14ac:dyDescent="0.4">
      <c r="A80" s="87" t="s">
        <v>167</v>
      </c>
      <c r="B80" s="179" t="s">
        <v>166</v>
      </c>
      <c r="C80" s="156">
        <v>25157.759999999998</v>
      </c>
      <c r="D80" s="156">
        <v>2096.48</v>
      </c>
      <c r="E80" s="200" t="s">
        <v>19</v>
      </c>
      <c r="F80" s="155"/>
      <c r="G80" s="156">
        <v>440</v>
      </c>
      <c r="H80" s="156">
        <v>1997.5</v>
      </c>
      <c r="I80" s="156">
        <v>225</v>
      </c>
      <c r="J80" s="156">
        <v>1800</v>
      </c>
      <c r="K80" s="155"/>
      <c r="L80" s="155"/>
      <c r="M80" s="156">
        <v>1955</v>
      </c>
      <c r="N80" s="155"/>
      <c r="O80" s="156">
        <v>1800</v>
      </c>
      <c r="P80" s="156">
        <v>1950</v>
      </c>
      <c r="Q80" s="155"/>
      <c r="R80" s="156">
        <v>10167.5</v>
      </c>
      <c r="S80" s="15"/>
      <c r="T80" s="156">
        <v>2667</v>
      </c>
      <c r="U80" s="156">
        <v>2667</v>
      </c>
      <c r="V80" s="156">
        <v>2667</v>
      </c>
      <c r="W80" s="156">
        <v>2823.76</v>
      </c>
      <c r="X80" s="156">
        <v>2667</v>
      </c>
      <c r="Y80" s="156">
        <v>3302.88</v>
      </c>
      <c r="Z80" s="156">
        <v>16794.64</v>
      </c>
      <c r="AA80" s="16"/>
      <c r="AB80" s="210">
        <f t="shared" si="15"/>
        <v>4462.5</v>
      </c>
      <c r="AC80" s="224">
        <f t="shared" si="16"/>
        <v>12332.14</v>
      </c>
      <c r="AD80" s="8">
        <f t="shared" si="17"/>
        <v>2.7635047619047617</v>
      </c>
    </row>
    <row r="81" spans="1:30" x14ac:dyDescent="0.4">
      <c r="A81" s="87" t="s">
        <v>169</v>
      </c>
      <c r="B81" s="179" t="s">
        <v>168</v>
      </c>
      <c r="C81" s="156">
        <v>887.76</v>
      </c>
      <c r="D81" s="156">
        <v>73.98</v>
      </c>
      <c r="E81" s="200" t="s">
        <v>19</v>
      </c>
      <c r="F81" s="155"/>
      <c r="G81" s="155"/>
      <c r="H81" s="155"/>
      <c r="I81" s="155"/>
      <c r="J81" s="156">
        <v>301.98</v>
      </c>
      <c r="K81" s="156">
        <v>109.98</v>
      </c>
      <c r="L81" s="156">
        <v>109.98</v>
      </c>
      <c r="M81" s="156">
        <v>337.98</v>
      </c>
      <c r="N81" s="155"/>
      <c r="O81" s="156">
        <v>109.98</v>
      </c>
      <c r="P81" s="156">
        <v>109.97</v>
      </c>
      <c r="Q81" s="156">
        <v>219.94</v>
      </c>
      <c r="R81" s="156">
        <v>1299.81</v>
      </c>
      <c r="S81" s="15"/>
      <c r="T81" s="156">
        <v>331.8</v>
      </c>
      <c r="U81" s="156">
        <v>331.8</v>
      </c>
      <c r="V81" s="156">
        <v>331.8</v>
      </c>
      <c r="W81" s="156">
        <v>623.79999999999995</v>
      </c>
      <c r="X81" s="156">
        <v>715.22</v>
      </c>
      <c r="Y81" s="156">
        <v>735.72</v>
      </c>
      <c r="Z81" s="156">
        <v>3070.14</v>
      </c>
      <c r="AA81" s="16"/>
      <c r="AB81" s="210">
        <f t="shared" si="15"/>
        <v>411.96000000000004</v>
      </c>
      <c r="AC81" s="224">
        <f t="shared" si="16"/>
        <v>2658.18</v>
      </c>
      <c r="AD81" s="8">
        <f t="shared" si="17"/>
        <v>6.452519662103116</v>
      </c>
    </row>
    <row r="82" spans="1:30" x14ac:dyDescent="0.4">
      <c r="A82" s="87" t="s">
        <v>171</v>
      </c>
      <c r="B82" s="179" t="s">
        <v>170</v>
      </c>
      <c r="C82" s="156">
        <v>3128</v>
      </c>
      <c r="D82" s="156">
        <v>260.66666666666669</v>
      </c>
      <c r="E82" s="200" t="s">
        <v>19</v>
      </c>
      <c r="F82" s="155"/>
      <c r="G82" s="155"/>
      <c r="H82" s="156">
        <v>1380.48</v>
      </c>
      <c r="I82" s="156">
        <v>464.06</v>
      </c>
      <c r="J82" s="156">
        <v>50.8</v>
      </c>
      <c r="K82" s="155"/>
      <c r="L82" s="155"/>
      <c r="M82" s="155"/>
      <c r="N82" s="155"/>
      <c r="O82" s="155"/>
      <c r="P82" s="155"/>
      <c r="Q82" s="155"/>
      <c r="R82" s="156">
        <v>1895.34</v>
      </c>
      <c r="S82" s="91"/>
      <c r="T82" s="155"/>
      <c r="U82" s="155"/>
      <c r="V82" s="156">
        <v>22</v>
      </c>
      <c r="W82" s="156">
        <v>22</v>
      </c>
      <c r="X82" s="156">
        <v>22</v>
      </c>
      <c r="Y82" s="156">
        <v>22</v>
      </c>
      <c r="Z82" s="156">
        <v>88</v>
      </c>
      <c r="AA82" s="16"/>
      <c r="AB82" s="210">
        <f t="shared" si="15"/>
        <v>1895.34</v>
      </c>
      <c r="AC82" s="224">
        <f t="shared" si="16"/>
        <v>-1807.34</v>
      </c>
      <c r="AD82" s="8">
        <f t="shared" si="17"/>
        <v>-0.95357033566536875</v>
      </c>
    </row>
    <row r="83" spans="1:30" x14ac:dyDescent="0.4">
      <c r="A83" s="87" t="s">
        <v>173</v>
      </c>
      <c r="B83" s="179" t="s">
        <v>172</v>
      </c>
      <c r="C83" s="156">
        <v>153412.59</v>
      </c>
      <c r="D83" s="156">
        <v>12784.3825</v>
      </c>
      <c r="E83" s="200" t="s">
        <v>19</v>
      </c>
      <c r="F83" s="156">
        <v>12681.98</v>
      </c>
      <c r="G83" s="156">
        <v>12298.65</v>
      </c>
      <c r="H83" s="156">
        <v>12050.64</v>
      </c>
      <c r="I83" s="156">
        <v>12360</v>
      </c>
      <c r="J83" s="156">
        <v>12375.02</v>
      </c>
      <c r="K83" s="156">
        <v>12360</v>
      </c>
      <c r="L83" s="156">
        <v>-2631.37</v>
      </c>
      <c r="M83" s="156">
        <v>27591.7</v>
      </c>
      <c r="N83" s="156">
        <v>11598.73</v>
      </c>
      <c r="O83" s="156">
        <v>28672.69</v>
      </c>
      <c r="P83" s="156">
        <v>-2892.69</v>
      </c>
      <c r="Q83" s="156">
        <v>12730.8</v>
      </c>
      <c r="R83" s="156">
        <v>149196.15</v>
      </c>
      <c r="S83" s="91"/>
      <c r="T83" s="156">
        <v>12730.8</v>
      </c>
      <c r="U83" s="156">
        <v>12587.43</v>
      </c>
      <c r="V83" s="156">
        <v>12874.17</v>
      </c>
      <c r="W83" s="156">
        <v>12831.41</v>
      </c>
      <c r="X83" s="156">
        <v>17658.93</v>
      </c>
      <c r="Y83" s="156">
        <v>28670.76</v>
      </c>
      <c r="Z83" s="156">
        <v>97353.5</v>
      </c>
      <c r="AA83" s="16"/>
      <c r="AB83" s="210">
        <f t="shared" si="15"/>
        <v>74126.289999999994</v>
      </c>
      <c r="AC83" s="224">
        <f t="shared" si="16"/>
        <v>23227.210000000006</v>
      </c>
      <c r="AD83" s="8">
        <f t="shared" si="17"/>
        <v>0.31334645238551678</v>
      </c>
    </row>
    <row r="84" spans="1:30" x14ac:dyDescent="0.4">
      <c r="A84" s="87"/>
      <c r="B84" s="179" t="s">
        <v>174</v>
      </c>
      <c r="C84" s="158">
        <v>8441.26</v>
      </c>
      <c r="D84" s="158">
        <v>703.43833333333328</v>
      </c>
      <c r="E84" s="200" t="s">
        <v>19</v>
      </c>
      <c r="F84" s="158">
        <v>1376.3</v>
      </c>
      <c r="G84" s="158">
        <v>1537.29</v>
      </c>
      <c r="H84" s="158">
        <v>3148.07</v>
      </c>
      <c r="I84" s="158">
        <v>2224.2199999999998</v>
      </c>
      <c r="J84" s="158">
        <v>1166.58</v>
      </c>
      <c r="K84" s="158">
        <v>1123.17</v>
      </c>
      <c r="L84" s="158">
        <v>1052.23</v>
      </c>
      <c r="M84" s="158">
        <v>966.68</v>
      </c>
      <c r="N84" s="158">
        <v>1727.95</v>
      </c>
      <c r="O84" s="158">
        <v>1061.21</v>
      </c>
      <c r="P84" s="158">
        <v>1313.55</v>
      </c>
      <c r="Q84" s="158">
        <v>1522.58</v>
      </c>
      <c r="R84" s="158">
        <v>18219.830000000002</v>
      </c>
      <c r="S84" s="15"/>
      <c r="T84" s="158">
        <v>1642.7</v>
      </c>
      <c r="U84" s="158">
        <v>1502.13</v>
      </c>
      <c r="V84" s="158">
        <v>1358.76</v>
      </c>
      <c r="W84" s="158">
        <v>1258.1500000000001</v>
      </c>
      <c r="X84" s="158">
        <v>1330.02</v>
      </c>
      <c r="Y84" s="158">
        <v>1477.17</v>
      </c>
      <c r="Z84" s="158">
        <v>8568.93</v>
      </c>
      <c r="AA84" s="15"/>
      <c r="AB84" s="213">
        <f t="shared" si="15"/>
        <v>10575.63</v>
      </c>
      <c r="AC84" s="11">
        <f t="shared" si="16"/>
        <v>-2006.6999999999989</v>
      </c>
      <c r="AD84" s="12">
        <f t="shared" si="17"/>
        <v>-0.1897475611382016</v>
      </c>
    </row>
    <row r="85" spans="1:30" x14ac:dyDescent="0.4">
      <c r="A85" s="87"/>
      <c r="B85" s="179" t="s">
        <v>175</v>
      </c>
      <c r="C85" s="158">
        <v>215856.88</v>
      </c>
      <c r="D85" s="158">
        <v>17988.073333333334</v>
      </c>
      <c r="E85" s="200" t="s">
        <v>19</v>
      </c>
      <c r="F85" s="158">
        <v>14558.28</v>
      </c>
      <c r="G85" s="158">
        <v>14275.94</v>
      </c>
      <c r="H85" s="158">
        <v>18576.689999999999</v>
      </c>
      <c r="I85" s="158">
        <v>16393.28</v>
      </c>
      <c r="J85" s="158">
        <v>19149.38</v>
      </c>
      <c r="K85" s="158">
        <v>13593.15</v>
      </c>
      <c r="L85" s="158">
        <v>-1469.16</v>
      </c>
      <c r="M85" s="158">
        <v>30851.360000000001</v>
      </c>
      <c r="N85" s="158">
        <v>13326.68</v>
      </c>
      <c r="O85" s="158">
        <v>34235.129999999997</v>
      </c>
      <c r="P85" s="158">
        <v>480.83</v>
      </c>
      <c r="Q85" s="158">
        <v>14473.32</v>
      </c>
      <c r="R85" s="158">
        <v>188444.88</v>
      </c>
      <c r="S85" s="15"/>
      <c r="T85" s="158">
        <v>17372.3</v>
      </c>
      <c r="U85" s="158">
        <v>17088.36</v>
      </c>
      <c r="V85" s="158">
        <v>17253.73</v>
      </c>
      <c r="W85" s="158">
        <v>21834.12</v>
      </c>
      <c r="X85" s="158">
        <v>22393.17</v>
      </c>
      <c r="Y85" s="158">
        <v>34208.53</v>
      </c>
      <c r="Z85" s="158">
        <v>130150.21</v>
      </c>
      <c r="AA85" s="15"/>
      <c r="AB85" s="158">
        <f>SUM(AB77:AB84)</f>
        <v>96546.72</v>
      </c>
      <c r="AC85" s="158">
        <f>SUM(AC77:AC84)</f>
        <v>33603.490000000005</v>
      </c>
      <c r="AD85" s="12">
        <f t="shared" ref="AD85:AD111" si="18">+AC85/AB85</f>
        <v>0.34805418557978979</v>
      </c>
    </row>
    <row r="86" spans="1:30" x14ac:dyDescent="0.4">
      <c r="A86" s="87"/>
      <c r="B86" s="179"/>
      <c r="C86" s="155"/>
      <c r="D86" s="155"/>
      <c r="E86" s="200" t="s">
        <v>19</v>
      </c>
      <c r="F86" s="155"/>
      <c r="G86" s="155"/>
      <c r="H86" s="155"/>
      <c r="I86" s="155"/>
      <c r="J86" s="155"/>
      <c r="K86" s="155"/>
      <c r="L86" s="155"/>
      <c r="M86" s="155"/>
      <c r="N86" s="155"/>
      <c r="O86" s="155"/>
      <c r="P86" s="155"/>
      <c r="Q86" s="155"/>
      <c r="R86" s="155"/>
      <c r="S86" s="15"/>
      <c r="T86" s="155"/>
      <c r="U86" s="155"/>
      <c r="V86" s="155"/>
      <c r="W86" s="155"/>
      <c r="X86" s="155"/>
      <c r="Y86" s="155"/>
      <c r="Z86" s="155"/>
      <c r="AA86" s="89"/>
      <c r="AB86" s="155"/>
      <c r="AC86" s="4"/>
      <c r="AD86" s="5"/>
    </row>
    <row r="87" spans="1:30" x14ac:dyDescent="0.4">
      <c r="A87" s="87" t="s">
        <v>176</v>
      </c>
      <c r="B87" s="179" t="s">
        <v>60</v>
      </c>
      <c r="C87" s="155"/>
      <c r="D87" s="155"/>
      <c r="E87" s="200" t="s">
        <v>19</v>
      </c>
      <c r="F87" s="155"/>
      <c r="G87" s="155"/>
      <c r="H87" s="155"/>
      <c r="I87" s="155"/>
      <c r="J87" s="155"/>
      <c r="K87" s="155"/>
      <c r="L87" s="155"/>
      <c r="M87" s="155"/>
      <c r="N87" s="155"/>
      <c r="O87" s="155"/>
      <c r="P87" s="155"/>
      <c r="Q87" s="155"/>
      <c r="R87" s="155"/>
      <c r="S87" s="15"/>
      <c r="T87" s="155"/>
      <c r="U87" s="155"/>
      <c r="V87" s="155"/>
      <c r="W87" s="155"/>
      <c r="X87" s="155"/>
      <c r="Y87" s="155"/>
      <c r="Z87" s="155"/>
      <c r="AA87" s="89"/>
      <c r="AB87" s="155"/>
      <c r="AC87" s="4"/>
      <c r="AD87" s="5"/>
    </row>
    <row r="88" spans="1:30" x14ac:dyDescent="0.4">
      <c r="A88" s="87"/>
      <c r="B88" s="179" t="s">
        <v>177</v>
      </c>
      <c r="C88" s="156">
        <v>9767.0499999999993</v>
      </c>
      <c r="D88" s="156">
        <v>813.92083333333335</v>
      </c>
      <c r="E88" s="200" t="s">
        <v>19</v>
      </c>
      <c r="F88" s="155"/>
      <c r="G88" s="155"/>
      <c r="H88" s="155"/>
      <c r="I88" s="155"/>
      <c r="J88" s="155"/>
      <c r="K88" s="155"/>
      <c r="L88" s="155"/>
      <c r="M88" s="155"/>
      <c r="N88" s="155"/>
      <c r="O88" s="155"/>
      <c r="P88" s="155"/>
      <c r="Q88" s="155"/>
      <c r="R88" s="155"/>
      <c r="S88" s="15"/>
      <c r="T88" s="155"/>
      <c r="U88" s="155"/>
      <c r="V88" s="155"/>
      <c r="W88" s="155"/>
      <c r="X88" s="155"/>
      <c r="Y88" s="155"/>
      <c r="Z88" s="155"/>
      <c r="AA88" s="89"/>
      <c r="AB88" s="210">
        <f t="shared" ref="AB88:AB94" si="19">SUM(F88:K88)</f>
        <v>0</v>
      </c>
      <c r="AC88" s="224">
        <f>+Z88-AB88</f>
        <v>0</v>
      </c>
      <c r="AD88" s="8" t="e">
        <f t="shared" si="18"/>
        <v>#DIV/0!</v>
      </c>
    </row>
    <row r="89" spans="1:30" x14ac:dyDescent="0.4">
      <c r="A89" s="87" t="s">
        <v>182</v>
      </c>
      <c r="B89" s="179" t="s">
        <v>183</v>
      </c>
      <c r="C89" s="156">
        <v>1100</v>
      </c>
      <c r="D89" s="156">
        <v>91.6666666666667</v>
      </c>
      <c r="E89" s="200" t="s">
        <v>19</v>
      </c>
      <c r="F89" s="155"/>
      <c r="G89" s="155"/>
      <c r="H89" s="155"/>
      <c r="I89" s="155"/>
      <c r="J89" s="155"/>
      <c r="K89" s="155"/>
      <c r="L89" s="155"/>
      <c r="M89" s="155"/>
      <c r="N89" s="155"/>
      <c r="O89" s="155"/>
      <c r="P89" s="155"/>
      <c r="Q89" s="155"/>
      <c r="R89" s="155"/>
      <c r="S89" s="15"/>
      <c r="T89" s="155"/>
      <c r="U89" s="155"/>
      <c r="V89" s="155"/>
      <c r="W89" s="155"/>
      <c r="X89" s="155"/>
      <c r="Y89" s="156">
        <v>694</v>
      </c>
      <c r="Z89" s="156">
        <v>694</v>
      </c>
      <c r="AA89" s="89"/>
      <c r="AB89" s="210">
        <f t="shared" si="19"/>
        <v>0</v>
      </c>
      <c r="AC89" s="224">
        <f t="shared" ref="AC89:AC94" si="20">+Z89-AB89</f>
        <v>694</v>
      </c>
      <c r="AD89" s="8" t="e">
        <f t="shared" ref="AD89:AD94" si="21">+AC89/AB89</f>
        <v>#DIV/0!</v>
      </c>
    </row>
    <row r="90" spans="1:30" x14ac:dyDescent="0.4">
      <c r="A90" s="87" t="s">
        <v>184</v>
      </c>
      <c r="B90" s="179" t="s">
        <v>185</v>
      </c>
      <c r="C90" s="156">
        <v>5687.54</v>
      </c>
      <c r="D90" s="156">
        <v>473.9616666666667</v>
      </c>
      <c r="E90" s="200" t="s">
        <v>19</v>
      </c>
      <c r="F90" s="155"/>
      <c r="G90" s="155"/>
      <c r="H90" s="155"/>
      <c r="I90" s="155"/>
      <c r="J90" s="155"/>
      <c r="K90" s="155"/>
      <c r="L90" s="155"/>
      <c r="M90" s="155"/>
      <c r="N90" s="155"/>
      <c r="O90" s="155"/>
      <c r="P90" s="155"/>
      <c r="Q90" s="155"/>
      <c r="R90" s="155"/>
      <c r="S90" s="15"/>
      <c r="T90" s="155"/>
      <c r="U90" s="155"/>
      <c r="V90" s="155"/>
      <c r="W90" s="155"/>
      <c r="X90" s="155"/>
      <c r="Y90" s="155"/>
      <c r="Z90" s="155"/>
      <c r="AA90" s="89"/>
      <c r="AB90" s="210">
        <f t="shared" si="19"/>
        <v>0</v>
      </c>
      <c r="AC90" s="224">
        <f t="shared" si="20"/>
        <v>0</v>
      </c>
      <c r="AD90" s="8" t="e">
        <f t="shared" si="21"/>
        <v>#DIV/0!</v>
      </c>
    </row>
    <row r="91" spans="1:30" x14ac:dyDescent="0.4">
      <c r="A91" s="87" t="s">
        <v>186</v>
      </c>
      <c r="B91" s="179" t="s">
        <v>187</v>
      </c>
      <c r="C91" s="156">
        <v>3150.07</v>
      </c>
      <c r="D91" s="156">
        <v>262.50583333333333</v>
      </c>
      <c r="E91" s="200" t="s">
        <v>19</v>
      </c>
      <c r="F91" s="155"/>
      <c r="G91" s="155"/>
      <c r="H91" s="156">
        <v>198.68</v>
      </c>
      <c r="I91" s="156">
        <v>90</v>
      </c>
      <c r="J91" s="155"/>
      <c r="K91" s="155"/>
      <c r="L91" s="155"/>
      <c r="M91" s="155"/>
      <c r="N91" s="155"/>
      <c r="O91" s="155"/>
      <c r="P91" s="156">
        <v>1700</v>
      </c>
      <c r="Q91" s="155"/>
      <c r="R91" s="156">
        <v>1988.68</v>
      </c>
      <c r="S91" s="15"/>
      <c r="T91" s="156">
        <v>350</v>
      </c>
      <c r="U91" s="155"/>
      <c r="V91" s="155"/>
      <c r="W91" s="156">
        <v>608</v>
      </c>
      <c r="X91" s="155"/>
      <c r="Y91" s="155"/>
      <c r="Z91" s="156">
        <v>958</v>
      </c>
      <c r="AA91" s="16"/>
      <c r="AB91" s="210">
        <f t="shared" si="19"/>
        <v>288.68</v>
      </c>
      <c r="AC91" s="224">
        <f t="shared" si="20"/>
        <v>669.31999999999994</v>
      </c>
      <c r="AD91" s="8">
        <f t="shared" si="21"/>
        <v>2.3185534155466256</v>
      </c>
    </row>
    <row r="92" spans="1:30" x14ac:dyDescent="0.4">
      <c r="A92" s="87"/>
      <c r="B92" s="179" t="s">
        <v>191</v>
      </c>
      <c r="C92" s="156">
        <v>2854.65</v>
      </c>
      <c r="D92" s="156">
        <v>237.88749999999999</v>
      </c>
      <c r="E92" s="200" t="s">
        <v>19</v>
      </c>
      <c r="F92" s="155"/>
      <c r="G92" s="155"/>
      <c r="H92" s="155"/>
      <c r="I92" s="155"/>
      <c r="J92" s="155"/>
      <c r="K92" s="155"/>
      <c r="L92" s="155"/>
      <c r="M92" s="155"/>
      <c r="N92" s="155"/>
      <c r="O92" s="155"/>
      <c r="P92" s="155"/>
      <c r="Q92" s="155"/>
      <c r="R92" s="155"/>
      <c r="S92" s="91"/>
      <c r="T92" s="155"/>
      <c r="U92" s="155"/>
      <c r="V92" s="155"/>
      <c r="W92" s="155"/>
      <c r="X92" s="155"/>
      <c r="Y92" s="156">
        <v>157.5</v>
      </c>
      <c r="Z92" s="156">
        <v>157.5</v>
      </c>
      <c r="AA92" s="89"/>
      <c r="AB92" s="210">
        <f t="shared" si="19"/>
        <v>0</v>
      </c>
      <c r="AC92" s="224">
        <f t="shared" si="20"/>
        <v>157.5</v>
      </c>
      <c r="AD92" s="8" t="e">
        <f t="shared" si="21"/>
        <v>#DIV/0!</v>
      </c>
    </row>
    <row r="93" spans="1:30" x14ac:dyDescent="0.4">
      <c r="A93" s="87" t="s">
        <v>190</v>
      </c>
      <c r="B93" s="179" t="s">
        <v>193</v>
      </c>
      <c r="C93" s="156">
        <v>109051.85</v>
      </c>
      <c r="D93" s="156">
        <v>9087.6541666666672</v>
      </c>
      <c r="E93" s="200" t="s">
        <v>19</v>
      </c>
      <c r="F93" s="156">
        <v>8058.7</v>
      </c>
      <c r="G93" s="156">
        <v>1640</v>
      </c>
      <c r="H93" s="156">
        <v>1878</v>
      </c>
      <c r="I93" s="156">
        <v>5549.19</v>
      </c>
      <c r="J93" s="156">
        <v>19087.89</v>
      </c>
      <c r="K93" s="155"/>
      <c r="L93" s="156">
        <v>2964</v>
      </c>
      <c r="M93" s="156">
        <v>14942</v>
      </c>
      <c r="N93" s="156">
        <v>684</v>
      </c>
      <c r="O93" s="156">
        <v>19278.54</v>
      </c>
      <c r="P93" s="156">
        <v>15196.08</v>
      </c>
      <c r="Q93" s="156">
        <v>15703.87</v>
      </c>
      <c r="R93" s="156">
        <v>104982.27</v>
      </c>
      <c r="S93" s="91"/>
      <c r="T93" s="156">
        <v>4598.72</v>
      </c>
      <c r="U93" s="156">
        <v>5289.37</v>
      </c>
      <c r="V93" s="156">
        <v>16137.65</v>
      </c>
      <c r="W93" s="156">
        <v>6615.75</v>
      </c>
      <c r="X93" s="156">
        <v>5541.61</v>
      </c>
      <c r="Y93" s="156">
        <v>5660.94</v>
      </c>
      <c r="Z93" s="156">
        <v>43844.04</v>
      </c>
      <c r="AA93" s="16"/>
      <c r="AB93" s="210">
        <f t="shared" si="19"/>
        <v>36213.78</v>
      </c>
      <c r="AC93" s="224">
        <f t="shared" si="20"/>
        <v>7630.260000000002</v>
      </c>
      <c r="AD93" s="8">
        <f t="shared" si="21"/>
        <v>0.21070045711880953</v>
      </c>
    </row>
    <row r="94" spans="1:30" x14ac:dyDescent="0.4">
      <c r="A94" s="87" t="s">
        <v>192</v>
      </c>
      <c r="B94" s="179" t="s">
        <v>199</v>
      </c>
      <c r="C94" s="158">
        <v>45131</v>
      </c>
      <c r="D94" s="158">
        <v>3760.9166666666665</v>
      </c>
      <c r="E94" s="200" t="s">
        <v>19</v>
      </c>
      <c r="F94" s="158">
        <v>100</v>
      </c>
      <c r="G94" s="158">
        <v>11784.26</v>
      </c>
      <c r="H94" s="158">
        <v>2969.59</v>
      </c>
      <c r="I94" s="158">
        <v>9851.89</v>
      </c>
      <c r="J94" s="158">
        <v>6579.59</v>
      </c>
      <c r="K94" s="158">
        <v>2019.59</v>
      </c>
      <c r="L94" s="158">
        <v>319.58999999999997</v>
      </c>
      <c r="M94" s="158">
        <v>14826.43</v>
      </c>
      <c r="N94" s="158">
        <v>13940.66</v>
      </c>
      <c r="O94" s="158">
        <v>18428.75</v>
      </c>
      <c r="P94" s="158">
        <v>2783.59</v>
      </c>
      <c r="Q94" s="158">
        <v>1919.59</v>
      </c>
      <c r="R94" s="158">
        <v>85523.53</v>
      </c>
      <c r="S94" s="15"/>
      <c r="T94" s="158">
        <v>6581.05</v>
      </c>
      <c r="U94" s="158">
        <v>6702.38</v>
      </c>
      <c r="V94" s="158">
        <v>7392.87</v>
      </c>
      <c r="W94" s="158">
        <v>2119.59</v>
      </c>
      <c r="X94" s="158">
        <v>619.59</v>
      </c>
      <c r="Y94" s="158">
        <v>2419.59</v>
      </c>
      <c r="Z94" s="158">
        <v>25835.07</v>
      </c>
      <c r="AA94" s="15"/>
      <c r="AB94" s="213">
        <f t="shared" si="19"/>
        <v>33304.92</v>
      </c>
      <c r="AC94" s="11">
        <f t="shared" si="20"/>
        <v>-7469.8499999999985</v>
      </c>
      <c r="AD94" s="12">
        <f t="shared" si="21"/>
        <v>-0.22428668196770923</v>
      </c>
    </row>
    <row r="95" spans="1:30" x14ac:dyDescent="0.4">
      <c r="A95" s="87"/>
      <c r="B95" s="179" t="s">
        <v>200</v>
      </c>
      <c r="C95" s="158">
        <v>176742.16</v>
      </c>
      <c r="D95" s="158">
        <v>14728.513333333332</v>
      </c>
      <c r="E95" s="200" t="s">
        <v>19</v>
      </c>
      <c r="F95" s="158">
        <v>8158.7</v>
      </c>
      <c r="G95" s="158">
        <v>13424.26</v>
      </c>
      <c r="H95" s="158">
        <v>5046.2700000000004</v>
      </c>
      <c r="I95" s="158">
        <v>15491.08</v>
      </c>
      <c r="J95" s="158">
        <v>25667.48</v>
      </c>
      <c r="K95" s="158">
        <v>2019.59</v>
      </c>
      <c r="L95" s="158">
        <v>3283.59</v>
      </c>
      <c r="M95" s="158">
        <v>29768.43</v>
      </c>
      <c r="N95" s="158">
        <v>14624.66</v>
      </c>
      <c r="O95" s="158">
        <v>37707.29</v>
      </c>
      <c r="P95" s="158">
        <v>19679.669999999998</v>
      </c>
      <c r="Q95" s="158">
        <v>17623.46</v>
      </c>
      <c r="R95" s="158">
        <v>192494.48</v>
      </c>
      <c r="S95" s="91"/>
      <c r="T95" s="158">
        <v>11529.77</v>
      </c>
      <c r="U95" s="158">
        <v>11991.75</v>
      </c>
      <c r="V95" s="158">
        <v>23530.52</v>
      </c>
      <c r="W95" s="158">
        <v>9343.34</v>
      </c>
      <c r="X95" s="158">
        <v>6161.2</v>
      </c>
      <c r="Y95" s="158">
        <v>8932.0300000000007</v>
      </c>
      <c r="Z95" s="158">
        <v>71488.61</v>
      </c>
      <c r="AA95" s="15"/>
      <c r="AB95" s="158">
        <f>SUM(AB88:AB94)</f>
        <v>69807.38</v>
      </c>
      <c r="AC95" s="158">
        <f>SUM(AC88:AC94)</f>
        <v>1681.2300000000032</v>
      </c>
      <c r="AD95" s="12">
        <f t="shared" si="18"/>
        <v>2.4083843284191487E-2</v>
      </c>
    </row>
    <row r="96" spans="1:30" x14ac:dyDescent="0.4">
      <c r="A96" s="87" t="s">
        <v>198</v>
      </c>
      <c r="B96" s="179"/>
      <c r="C96" s="155"/>
      <c r="D96" s="155"/>
      <c r="E96" s="200" t="s">
        <v>19</v>
      </c>
      <c r="F96" s="155"/>
      <c r="G96" s="155"/>
      <c r="H96" s="155"/>
      <c r="I96" s="155"/>
      <c r="J96" s="155"/>
      <c r="K96" s="155"/>
      <c r="L96" s="155"/>
      <c r="M96" s="155"/>
      <c r="N96" s="155"/>
      <c r="O96" s="155"/>
      <c r="P96" s="155"/>
      <c r="Q96" s="155"/>
      <c r="R96" s="155"/>
      <c r="S96" s="15"/>
      <c r="T96" s="155"/>
      <c r="U96" s="155"/>
      <c r="V96" s="155"/>
      <c r="W96" s="155"/>
      <c r="X96" s="155"/>
      <c r="Y96" s="155"/>
      <c r="Z96" s="155"/>
      <c r="AA96" s="89"/>
      <c r="AB96" s="155"/>
      <c r="AC96" s="4"/>
      <c r="AD96" s="5"/>
    </row>
    <row r="97" spans="1:30" x14ac:dyDescent="0.4">
      <c r="A97" s="87"/>
      <c r="B97" s="179" t="s">
        <v>201</v>
      </c>
      <c r="C97" s="155"/>
      <c r="D97" s="155"/>
      <c r="E97" s="200" t="s">
        <v>19</v>
      </c>
      <c r="F97" s="155"/>
      <c r="G97" s="155"/>
      <c r="H97" s="155"/>
      <c r="I97" s="155"/>
      <c r="J97" s="155"/>
      <c r="K97" s="155"/>
      <c r="L97" s="155"/>
      <c r="M97" s="155"/>
      <c r="N97" s="155"/>
      <c r="O97" s="155"/>
      <c r="P97" s="155"/>
      <c r="Q97" s="155"/>
      <c r="R97" s="155"/>
      <c r="S97" s="91"/>
      <c r="T97" s="155"/>
      <c r="U97" s="155"/>
      <c r="V97" s="155"/>
      <c r="W97" s="155"/>
      <c r="X97" s="155"/>
      <c r="Y97" s="155"/>
      <c r="Z97" s="155"/>
      <c r="AA97" s="89"/>
      <c r="AB97" s="155"/>
      <c r="AC97" s="4"/>
      <c r="AD97" s="5"/>
    </row>
    <row r="98" spans="1:30" x14ac:dyDescent="0.4">
      <c r="A98" s="87"/>
      <c r="B98" s="179" t="s">
        <v>203</v>
      </c>
      <c r="C98" s="158">
        <v>28255.09</v>
      </c>
      <c r="D98" s="158">
        <v>2354.5908333333332</v>
      </c>
      <c r="E98" s="200" t="s">
        <v>19</v>
      </c>
      <c r="F98" s="158">
        <v>389</v>
      </c>
      <c r="G98" s="158">
        <v>1711</v>
      </c>
      <c r="H98" s="158">
        <v>6143.3</v>
      </c>
      <c r="I98" s="158">
        <v>3682.96</v>
      </c>
      <c r="J98" s="158">
        <v>2428.2199999999998</v>
      </c>
      <c r="K98" s="158">
        <v>929.28</v>
      </c>
      <c r="L98" s="158">
        <v>294.44</v>
      </c>
      <c r="M98" s="158">
        <v>6597.89</v>
      </c>
      <c r="N98" s="158">
        <v>117.09</v>
      </c>
      <c r="O98" s="158">
        <v>1114.5</v>
      </c>
      <c r="P98" s="158">
        <v>37.97</v>
      </c>
      <c r="Q98" s="158">
        <v>1374.97</v>
      </c>
      <c r="R98" s="158">
        <v>24820.62</v>
      </c>
      <c r="S98" s="15"/>
      <c r="T98" s="158">
        <v>121.18</v>
      </c>
      <c r="U98" s="157"/>
      <c r="V98" s="158">
        <v>127.78</v>
      </c>
      <c r="W98" s="158">
        <v>98.5</v>
      </c>
      <c r="X98" s="157"/>
      <c r="Y98" s="158">
        <v>69.3</v>
      </c>
      <c r="Z98" s="158">
        <v>416.76</v>
      </c>
      <c r="AA98" s="16"/>
      <c r="AB98" s="213">
        <f>SUM(F98:K98)</f>
        <v>15283.759999999998</v>
      </c>
      <c r="AC98" s="11">
        <f>+Z98-AB98</f>
        <v>-14866.999999999998</v>
      </c>
      <c r="AD98" s="5">
        <f t="shared" si="18"/>
        <v>-0.97273184085591502</v>
      </c>
    </row>
    <row r="99" spans="1:30" x14ac:dyDescent="0.4">
      <c r="A99" s="87"/>
      <c r="B99" s="179" t="s">
        <v>206</v>
      </c>
      <c r="C99" s="158">
        <v>28255.09</v>
      </c>
      <c r="D99" s="158">
        <v>2354.5908333333332</v>
      </c>
      <c r="E99" s="200" t="s">
        <v>19</v>
      </c>
      <c r="F99" s="158">
        <v>389</v>
      </c>
      <c r="G99" s="158">
        <v>1711</v>
      </c>
      <c r="H99" s="158">
        <v>6143.3</v>
      </c>
      <c r="I99" s="158">
        <v>3682.96</v>
      </c>
      <c r="J99" s="158">
        <v>2428.2199999999998</v>
      </c>
      <c r="K99" s="158">
        <v>929.28</v>
      </c>
      <c r="L99" s="158">
        <v>294.44</v>
      </c>
      <c r="M99" s="158">
        <v>6597.89</v>
      </c>
      <c r="N99" s="158">
        <v>117.09</v>
      </c>
      <c r="O99" s="158">
        <v>1114.5</v>
      </c>
      <c r="P99" s="158">
        <v>37.97</v>
      </c>
      <c r="Q99" s="158">
        <v>1374.97</v>
      </c>
      <c r="R99" s="158">
        <v>24820.62</v>
      </c>
      <c r="S99" s="91"/>
      <c r="T99" s="158">
        <v>121.18</v>
      </c>
      <c r="U99" s="158"/>
      <c r="V99" s="158">
        <v>127.78</v>
      </c>
      <c r="W99" s="158">
        <v>98.5</v>
      </c>
      <c r="X99" s="158"/>
      <c r="Y99" s="158">
        <v>69.3</v>
      </c>
      <c r="Z99" s="158">
        <v>416.76</v>
      </c>
      <c r="AA99" s="91"/>
      <c r="AB99" s="158">
        <f>SUM(AB98)</f>
        <v>15283.759999999998</v>
      </c>
      <c r="AC99" s="158">
        <f>SUM(AC98)</f>
        <v>-14866.999999999998</v>
      </c>
      <c r="AD99" s="10">
        <f t="shared" si="18"/>
        <v>-0.97273184085591502</v>
      </c>
    </row>
    <row r="100" spans="1:30" x14ac:dyDescent="0.4">
      <c r="A100" s="87" t="s">
        <v>202</v>
      </c>
      <c r="B100" s="179"/>
      <c r="C100" s="155"/>
      <c r="D100" s="155"/>
      <c r="E100" s="200" t="s">
        <v>19</v>
      </c>
      <c r="F100" s="155"/>
      <c r="G100" s="155"/>
      <c r="H100" s="155"/>
      <c r="I100" s="155"/>
      <c r="J100" s="155"/>
      <c r="K100" s="155"/>
      <c r="L100" s="155"/>
      <c r="M100" s="155"/>
      <c r="N100" s="155"/>
      <c r="O100" s="155"/>
      <c r="P100" s="155"/>
      <c r="Q100" s="155"/>
      <c r="R100" s="155"/>
      <c r="S100" s="91"/>
      <c r="T100" s="155"/>
      <c r="U100" s="155"/>
      <c r="V100" s="155"/>
      <c r="W100" s="155"/>
      <c r="X100" s="155"/>
      <c r="Y100" s="155"/>
      <c r="Z100" s="155"/>
      <c r="AA100" s="15"/>
      <c r="AB100" s="155"/>
      <c r="AC100" s="4"/>
      <c r="AD100" s="5"/>
    </row>
    <row r="101" spans="1:30" x14ac:dyDescent="0.4">
      <c r="A101" s="87" t="s">
        <v>204</v>
      </c>
      <c r="B101" s="179" t="s">
        <v>207</v>
      </c>
      <c r="C101" s="158">
        <v>1616653.52</v>
      </c>
      <c r="D101" s="158">
        <v>134721.12666666668</v>
      </c>
      <c r="E101" s="200" t="s">
        <v>19</v>
      </c>
      <c r="F101" s="158">
        <v>85854.21</v>
      </c>
      <c r="G101" s="158">
        <v>104693.77</v>
      </c>
      <c r="H101" s="158">
        <v>99278.17</v>
      </c>
      <c r="I101" s="158">
        <v>145121.26999999999</v>
      </c>
      <c r="J101" s="158">
        <v>150578.09</v>
      </c>
      <c r="K101" s="158">
        <v>100841.27</v>
      </c>
      <c r="L101" s="158">
        <v>83588.479999999996</v>
      </c>
      <c r="M101" s="158">
        <v>150679.74</v>
      </c>
      <c r="N101" s="158">
        <v>122680.64</v>
      </c>
      <c r="O101" s="158">
        <v>155321.43</v>
      </c>
      <c r="P101" s="158">
        <v>98740.57</v>
      </c>
      <c r="Q101" s="158">
        <v>105646.37</v>
      </c>
      <c r="R101" s="158">
        <v>1403024.01</v>
      </c>
      <c r="S101" s="15"/>
      <c r="T101" s="158">
        <v>105914.21</v>
      </c>
      <c r="U101" s="158">
        <v>103728.07</v>
      </c>
      <c r="V101" s="158">
        <v>122214.26</v>
      </c>
      <c r="W101" s="158">
        <v>114624.1</v>
      </c>
      <c r="X101" s="158">
        <v>120831.03999999999</v>
      </c>
      <c r="Y101" s="158">
        <v>131205.07</v>
      </c>
      <c r="Z101" s="158">
        <v>698516.75</v>
      </c>
      <c r="AA101" s="89"/>
      <c r="AB101" s="158">
        <f>SUM(F101:K101)</f>
        <v>686366.78</v>
      </c>
      <c r="AC101" s="11">
        <f>+Z101-AB101</f>
        <v>12149.969999999972</v>
      </c>
      <c r="AD101" s="12">
        <f t="shared" si="18"/>
        <v>1.7701861969485137E-2</v>
      </c>
    </row>
    <row r="102" spans="1:30" x14ac:dyDescent="0.4">
      <c r="A102" s="87"/>
      <c r="B102" s="179"/>
      <c r="C102" s="155"/>
      <c r="D102" s="155"/>
      <c r="E102" s="200" t="s">
        <v>19</v>
      </c>
      <c r="F102" s="155"/>
      <c r="G102" s="155"/>
      <c r="H102" s="155"/>
      <c r="I102" s="155"/>
      <c r="J102" s="155"/>
      <c r="K102" s="155"/>
      <c r="L102" s="155"/>
      <c r="M102" s="155"/>
      <c r="N102" s="155"/>
      <c r="O102" s="155"/>
      <c r="P102" s="155"/>
      <c r="Q102" s="155"/>
      <c r="R102" s="155"/>
      <c r="S102" s="15"/>
      <c r="T102" s="155"/>
      <c r="U102" s="155"/>
      <c r="V102" s="155"/>
      <c r="W102" s="155"/>
      <c r="X102" s="155"/>
      <c r="Y102" s="155"/>
      <c r="Z102" s="155"/>
      <c r="AA102" s="89"/>
      <c r="AB102" s="155"/>
      <c r="AC102" s="4"/>
      <c r="AD102" s="5"/>
    </row>
    <row r="103" spans="1:30" x14ac:dyDescent="0.4">
      <c r="A103" s="87"/>
      <c r="B103" s="179" t="s">
        <v>70</v>
      </c>
      <c r="C103" s="155"/>
      <c r="D103" s="155"/>
      <c r="E103" s="200" t="s">
        <v>19</v>
      </c>
      <c r="F103" s="155"/>
      <c r="G103" s="155"/>
      <c r="H103" s="155"/>
      <c r="I103" s="155"/>
      <c r="J103" s="155"/>
      <c r="K103" s="155"/>
      <c r="L103" s="155"/>
      <c r="M103" s="155"/>
      <c r="N103" s="155"/>
      <c r="O103" s="155"/>
      <c r="P103" s="155"/>
      <c r="Q103" s="155"/>
      <c r="R103" s="155"/>
      <c r="S103" s="15"/>
      <c r="T103" s="155"/>
      <c r="U103" s="155"/>
      <c r="V103" s="155"/>
      <c r="W103" s="155"/>
      <c r="X103" s="155"/>
      <c r="Y103" s="155"/>
      <c r="Z103" s="155"/>
      <c r="AA103" s="89"/>
      <c r="AB103" s="155"/>
      <c r="AC103" s="4"/>
      <c r="AD103" s="5"/>
    </row>
    <row r="104" spans="1:30" x14ac:dyDescent="0.4">
      <c r="A104" s="87"/>
      <c r="B104" s="179" t="s">
        <v>67</v>
      </c>
      <c r="C104" s="156">
        <v>202680</v>
      </c>
      <c r="D104" s="156">
        <v>16890</v>
      </c>
      <c r="E104" s="200" t="s">
        <v>19</v>
      </c>
      <c r="F104" s="156">
        <v>16890</v>
      </c>
      <c r="G104" s="156">
        <v>16890</v>
      </c>
      <c r="H104" s="156">
        <v>16890</v>
      </c>
      <c r="I104" s="156">
        <v>16890</v>
      </c>
      <c r="J104" s="156">
        <v>16890</v>
      </c>
      <c r="K104" s="156">
        <v>16890</v>
      </c>
      <c r="L104" s="156">
        <v>16890</v>
      </c>
      <c r="M104" s="156">
        <v>16890</v>
      </c>
      <c r="N104" s="156">
        <v>16890</v>
      </c>
      <c r="O104" s="156">
        <v>16890</v>
      </c>
      <c r="P104" s="156">
        <v>16890</v>
      </c>
      <c r="Q104" s="156">
        <v>16890</v>
      </c>
      <c r="R104" s="156">
        <v>202680</v>
      </c>
      <c r="S104" s="91"/>
      <c r="T104" s="156">
        <v>16890</v>
      </c>
      <c r="U104" s="156">
        <v>16890</v>
      </c>
      <c r="V104" s="156">
        <v>16890</v>
      </c>
      <c r="W104" s="156">
        <v>16890</v>
      </c>
      <c r="X104" s="156">
        <v>16890</v>
      </c>
      <c r="Y104" s="156">
        <v>16890</v>
      </c>
      <c r="Z104" s="156">
        <v>101340</v>
      </c>
      <c r="AA104" s="16"/>
      <c r="AB104" s="210">
        <f>SUM(F104:K104)</f>
        <v>101340</v>
      </c>
      <c r="AC104" s="224">
        <f>+Z104-AB104</f>
        <v>0</v>
      </c>
      <c r="AD104" s="8">
        <f t="shared" si="18"/>
        <v>0</v>
      </c>
    </row>
    <row r="105" spans="1:30" x14ac:dyDescent="0.4">
      <c r="A105" s="87"/>
      <c r="B105" s="179" t="s">
        <v>69</v>
      </c>
      <c r="C105" s="158">
        <v>50664</v>
      </c>
      <c r="D105" s="158">
        <v>4222</v>
      </c>
      <c r="E105" s="200" t="s">
        <v>19</v>
      </c>
      <c r="F105" s="158">
        <v>4222</v>
      </c>
      <c r="G105" s="158">
        <v>4222</v>
      </c>
      <c r="H105" s="158">
        <v>4222</v>
      </c>
      <c r="I105" s="158">
        <v>4222</v>
      </c>
      <c r="J105" s="158">
        <v>4222</v>
      </c>
      <c r="K105" s="158">
        <v>4222</v>
      </c>
      <c r="L105" s="158">
        <v>4222</v>
      </c>
      <c r="M105" s="158">
        <v>4222</v>
      </c>
      <c r="N105" s="158">
        <v>4222</v>
      </c>
      <c r="O105" s="158">
        <v>4222</v>
      </c>
      <c r="P105" s="158">
        <v>4222</v>
      </c>
      <c r="Q105" s="158">
        <v>4222</v>
      </c>
      <c r="R105" s="158">
        <v>50664</v>
      </c>
      <c r="S105" s="15"/>
      <c r="T105" s="158">
        <v>4222</v>
      </c>
      <c r="U105" s="158">
        <v>4222</v>
      </c>
      <c r="V105" s="158">
        <v>4222</v>
      </c>
      <c r="W105" s="158">
        <v>4222</v>
      </c>
      <c r="X105" s="158">
        <v>4222</v>
      </c>
      <c r="Y105" s="158">
        <v>4222</v>
      </c>
      <c r="Z105" s="158">
        <v>25332</v>
      </c>
      <c r="AA105" s="15"/>
      <c r="AB105" s="213">
        <f>SUM(F105:K105)</f>
        <v>25332</v>
      </c>
      <c r="AC105" s="11">
        <f>+Z105-AB105</f>
        <v>0</v>
      </c>
      <c r="AD105" s="12">
        <f t="shared" ref="AD105" si="22">+AC105/AB105</f>
        <v>0</v>
      </c>
    </row>
    <row r="106" spans="1:30" x14ac:dyDescent="0.4">
      <c r="A106" s="87"/>
      <c r="B106" s="179" t="s">
        <v>70</v>
      </c>
      <c r="C106" s="158">
        <v>253344</v>
      </c>
      <c r="D106" s="158">
        <v>21112</v>
      </c>
      <c r="E106" s="200" t="s">
        <v>19</v>
      </c>
      <c r="F106" s="158">
        <v>21112</v>
      </c>
      <c r="G106" s="158">
        <v>21112</v>
      </c>
      <c r="H106" s="158">
        <v>21112</v>
      </c>
      <c r="I106" s="158">
        <v>21112</v>
      </c>
      <c r="J106" s="158">
        <v>21112</v>
      </c>
      <c r="K106" s="158">
        <v>21112</v>
      </c>
      <c r="L106" s="158">
        <v>21112</v>
      </c>
      <c r="M106" s="158">
        <v>21112</v>
      </c>
      <c r="N106" s="158">
        <v>21112</v>
      </c>
      <c r="O106" s="158">
        <v>21112</v>
      </c>
      <c r="P106" s="158">
        <v>21112</v>
      </c>
      <c r="Q106" s="158">
        <v>21112</v>
      </c>
      <c r="R106" s="158">
        <v>253344</v>
      </c>
      <c r="S106" s="91"/>
      <c r="T106" s="158">
        <v>21112</v>
      </c>
      <c r="U106" s="158">
        <v>21112</v>
      </c>
      <c r="V106" s="158">
        <v>21112</v>
      </c>
      <c r="W106" s="158">
        <v>21112</v>
      </c>
      <c r="X106" s="158">
        <v>21112</v>
      </c>
      <c r="Y106" s="158">
        <v>21112</v>
      </c>
      <c r="Z106" s="158">
        <v>126672</v>
      </c>
      <c r="AA106" s="15"/>
      <c r="AB106" s="158">
        <f>SUM(AB104:AB105)</f>
        <v>126672</v>
      </c>
      <c r="AC106" s="158">
        <f>SUM(AC104:AC105)</f>
        <v>0</v>
      </c>
      <c r="AD106" s="12">
        <f t="shared" si="18"/>
        <v>0</v>
      </c>
    </row>
    <row r="107" spans="1:30" x14ac:dyDescent="0.4">
      <c r="A107" s="87" t="s">
        <v>66</v>
      </c>
      <c r="B107" s="179"/>
      <c r="C107" s="157"/>
      <c r="D107" s="157"/>
      <c r="E107" s="200" t="s">
        <v>19</v>
      </c>
      <c r="F107" s="157"/>
      <c r="G107" s="157"/>
      <c r="H107" s="157"/>
      <c r="I107" s="157"/>
      <c r="J107" s="157"/>
      <c r="K107" s="157"/>
      <c r="L107" s="157"/>
      <c r="M107" s="157"/>
      <c r="N107" s="157"/>
      <c r="O107" s="157"/>
      <c r="P107" s="157"/>
      <c r="Q107" s="157"/>
      <c r="R107" s="157"/>
      <c r="S107" s="91"/>
      <c r="T107" s="157"/>
      <c r="U107" s="157"/>
      <c r="V107" s="157"/>
      <c r="W107" s="157"/>
      <c r="X107" s="157"/>
      <c r="Y107" s="157"/>
      <c r="Z107" s="157"/>
      <c r="AA107" s="91"/>
      <c r="AB107" s="157"/>
      <c r="AC107" s="11"/>
      <c r="AD107" s="12"/>
    </row>
    <row r="108" spans="1:30" x14ac:dyDescent="0.4">
      <c r="A108" s="87" t="s">
        <v>68</v>
      </c>
      <c r="B108" s="179" t="s">
        <v>71</v>
      </c>
      <c r="C108" s="156">
        <v>1869997.52</v>
      </c>
      <c r="D108" s="156">
        <v>155833.12666666668</v>
      </c>
      <c r="E108" s="200" t="s">
        <v>19</v>
      </c>
      <c r="F108" s="156">
        <v>106966.21</v>
      </c>
      <c r="G108" s="156">
        <v>125805.77</v>
      </c>
      <c r="H108" s="156">
        <v>120390.17</v>
      </c>
      <c r="I108" s="156">
        <v>166233.26999999999</v>
      </c>
      <c r="J108" s="156">
        <v>171690.09</v>
      </c>
      <c r="K108" s="156">
        <v>121953.27</v>
      </c>
      <c r="L108" s="156">
        <v>104700.48</v>
      </c>
      <c r="M108" s="156">
        <v>171791.74</v>
      </c>
      <c r="N108" s="156">
        <v>143792.64000000001</v>
      </c>
      <c r="O108" s="156">
        <v>176433.43</v>
      </c>
      <c r="P108" s="156">
        <v>119852.57</v>
      </c>
      <c r="Q108" s="156">
        <v>126758.37</v>
      </c>
      <c r="R108" s="156">
        <v>1656368.01</v>
      </c>
      <c r="S108" s="15"/>
      <c r="T108" s="156">
        <v>127026.21</v>
      </c>
      <c r="U108" s="156">
        <v>124840.07</v>
      </c>
      <c r="V108" s="156">
        <v>143326.26</v>
      </c>
      <c r="W108" s="156">
        <v>135736.1</v>
      </c>
      <c r="X108" s="156">
        <v>141943.04000000001</v>
      </c>
      <c r="Y108" s="156">
        <v>152317.07</v>
      </c>
      <c r="Z108" s="156">
        <v>825188.75</v>
      </c>
      <c r="AA108" s="16"/>
      <c r="AB108" s="156">
        <f>SUM(F108:K108)</f>
        <v>813038.78</v>
      </c>
      <c r="AC108" s="4">
        <f>+Z108-AB108</f>
        <v>12149.969999999972</v>
      </c>
      <c r="AD108" s="5">
        <f t="shared" si="18"/>
        <v>1.4943899723946712E-2</v>
      </c>
    </row>
    <row r="109" spans="1:30" x14ac:dyDescent="0.4">
      <c r="A109" s="87"/>
      <c r="B109" s="179"/>
      <c r="C109" s="155"/>
      <c r="D109" s="155"/>
      <c r="E109" s="200" t="s">
        <v>19</v>
      </c>
      <c r="F109" s="155"/>
      <c r="G109" s="155"/>
      <c r="H109" s="155"/>
      <c r="I109" s="155"/>
      <c r="J109" s="155"/>
      <c r="K109" s="155"/>
      <c r="L109" s="155"/>
      <c r="M109" s="155"/>
      <c r="N109" s="155"/>
      <c r="O109" s="155"/>
      <c r="P109" s="155"/>
      <c r="Q109" s="155"/>
      <c r="R109" s="155"/>
      <c r="S109" s="91"/>
      <c r="T109" s="155"/>
      <c r="U109" s="155"/>
      <c r="V109" s="155"/>
      <c r="W109" s="155"/>
      <c r="X109" s="155"/>
      <c r="Y109" s="155"/>
      <c r="Z109" s="155"/>
      <c r="AA109" s="89"/>
      <c r="AB109" s="155"/>
      <c r="AC109" s="4"/>
      <c r="AD109" s="5"/>
    </row>
    <row r="110" spans="1:30" x14ac:dyDescent="0.4">
      <c r="A110" s="87"/>
      <c r="B110" s="179"/>
      <c r="C110" s="157"/>
      <c r="D110" s="157"/>
      <c r="E110" s="200" t="s">
        <v>19</v>
      </c>
      <c r="F110" s="157"/>
      <c r="G110" s="157"/>
      <c r="H110" s="157"/>
      <c r="I110" s="157"/>
      <c r="J110" s="157"/>
      <c r="K110" s="157"/>
      <c r="L110" s="157"/>
      <c r="M110" s="157"/>
      <c r="N110" s="157"/>
      <c r="O110" s="157"/>
      <c r="P110" s="157"/>
      <c r="Q110" s="157"/>
      <c r="R110" s="157"/>
      <c r="S110" s="91"/>
      <c r="T110" s="157"/>
      <c r="U110" s="157"/>
      <c r="V110" s="157"/>
      <c r="W110" s="157"/>
      <c r="X110" s="157"/>
      <c r="Y110" s="157"/>
      <c r="Z110" s="157"/>
      <c r="AA110" s="91"/>
      <c r="AB110" s="157"/>
      <c r="AC110" s="4"/>
      <c r="AD110" s="5"/>
    </row>
    <row r="111" spans="1:30" ht="15" thickBot="1" x14ac:dyDescent="0.45">
      <c r="A111" s="87"/>
      <c r="B111" s="179" t="s">
        <v>228</v>
      </c>
      <c r="C111" s="159">
        <v>-365517.47</v>
      </c>
      <c r="D111" s="159">
        <v>-30459.789166666666</v>
      </c>
      <c r="E111" s="200" t="s">
        <v>19</v>
      </c>
      <c r="F111" s="159">
        <v>-49768.23</v>
      </c>
      <c r="G111" s="159">
        <v>-21701.66</v>
      </c>
      <c r="H111" s="159">
        <v>55350.02</v>
      </c>
      <c r="I111" s="159">
        <v>-98852.69</v>
      </c>
      <c r="J111" s="159">
        <v>-3764.94</v>
      </c>
      <c r="K111" s="159">
        <v>-27095.22</v>
      </c>
      <c r="L111" s="159">
        <v>-28489.439999999999</v>
      </c>
      <c r="M111" s="159">
        <v>30527.95</v>
      </c>
      <c r="N111" s="159">
        <v>-32483.69</v>
      </c>
      <c r="O111" s="159">
        <v>-59460.74</v>
      </c>
      <c r="P111" s="159">
        <v>-59333.3</v>
      </c>
      <c r="Q111" s="159">
        <v>-18009.919999999998</v>
      </c>
      <c r="R111" s="159">
        <v>-313081.86</v>
      </c>
      <c r="S111" s="91"/>
      <c r="T111" s="159">
        <v>-33909.64</v>
      </c>
      <c r="U111" s="159">
        <v>-54147.43</v>
      </c>
      <c r="V111" s="159">
        <v>-21238</v>
      </c>
      <c r="W111" s="159">
        <v>74563.87</v>
      </c>
      <c r="X111" s="159">
        <v>-68722.39</v>
      </c>
      <c r="Y111" s="159">
        <v>-41186.400000000001</v>
      </c>
      <c r="Z111" s="159">
        <v>-144639.99</v>
      </c>
      <c r="AA111" s="15"/>
      <c r="AB111" s="159">
        <f>SUM(F111:K111)</f>
        <v>-145832.72</v>
      </c>
      <c r="AC111" s="13">
        <f>+Z111-AB111</f>
        <v>1192.7300000000105</v>
      </c>
      <c r="AD111" s="14">
        <f t="shared" si="18"/>
        <v>-8.1787543975042811E-3</v>
      </c>
    </row>
    <row r="112" spans="1:30" ht="15" thickTop="1" x14ac:dyDescent="0.4">
      <c r="A112" s="87"/>
      <c r="B112" s="179"/>
      <c r="C112" s="155"/>
      <c r="D112" s="155"/>
      <c r="E112" s="200" t="s">
        <v>19</v>
      </c>
      <c r="F112" s="155"/>
      <c r="G112" s="155"/>
      <c r="H112" s="155"/>
      <c r="I112" s="155"/>
      <c r="J112" s="155"/>
      <c r="K112" s="155"/>
      <c r="L112" s="155"/>
      <c r="M112" s="155"/>
      <c r="N112" s="155"/>
      <c r="O112" s="155"/>
      <c r="P112" s="155"/>
      <c r="Q112" s="155"/>
      <c r="R112" s="155"/>
      <c r="T112" s="155"/>
      <c r="U112" s="155"/>
      <c r="V112" s="155"/>
      <c r="W112" s="155"/>
      <c r="X112" s="155"/>
      <c r="Y112" s="155"/>
      <c r="Z112" s="155"/>
      <c r="AA112" s="89"/>
      <c r="AB112" s="155"/>
      <c r="AC112" s="4"/>
      <c r="AD112" s="5"/>
    </row>
    <row r="113" spans="1:30" x14ac:dyDescent="0.4">
      <c r="A113" s="87"/>
      <c r="B113" s="179"/>
      <c r="C113" s="155"/>
      <c r="D113" s="155"/>
      <c r="E113" s="200" t="s">
        <v>19</v>
      </c>
      <c r="F113" s="155"/>
      <c r="G113" s="155"/>
      <c r="H113" s="155"/>
      <c r="I113" s="155"/>
      <c r="J113" s="155"/>
      <c r="K113" s="155"/>
      <c r="L113" s="155"/>
      <c r="M113" s="155"/>
      <c r="N113" s="155"/>
      <c r="O113" s="155"/>
      <c r="P113" s="155"/>
      <c r="Q113" s="155"/>
      <c r="R113" s="155"/>
      <c r="T113" s="155"/>
      <c r="U113" s="155"/>
      <c r="V113" s="155"/>
      <c r="W113" s="155"/>
      <c r="X113" s="155"/>
      <c r="Y113" s="155"/>
      <c r="Z113" s="155"/>
      <c r="AA113" s="89"/>
      <c r="AB113" s="155"/>
      <c r="AC113" s="4"/>
      <c r="AD113" s="5"/>
    </row>
    <row r="114" spans="1:30" x14ac:dyDescent="0.4">
      <c r="A114" s="87"/>
      <c r="B114" s="179"/>
      <c r="C114" s="155"/>
      <c r="D114" s="155"/>
      <c r="E114" s="200" t="s">
        <v>19</v>
      </c>
      <c r="F114" s="155"/>
      <c r="G114" s="155"/>
      <c r="H114" s="155"/>
      <c r="I114" s="155"/>
      <c r="J114" s="155"/>
      <c r="K114" s="155"/>
      <c r="L114" s="155"/>
      <c r="M114" s="155"/>
      <c r="N114" s="155"/>
      <c r="O114" s="155"/>
      <c r="P114" s="155"/>
      <c r="Q114" s="155"/>
      <c r="R114" s="155"/>
      <c r="T114" s="155"/>
      <c r="U114" s="155"/>
      <c r="V114" s="155"/>
      <c r="W114" s="155"/>
      <c r="X114" s="155"/>
      <c r="Y114" s="155"/>
      <c r="Z114" s="155"/>
      <c r="AA114" s="89"/>
      <c r="AB114" s="4"/>
      <c r="AC114" s="4"/>
      <c r="AD114" s="5"/>
    </row>
    <row r="115" spans="1:30" x14ac:dyDescent="0.4">
      <c r="A115" s="87"/>
      <c r="T115" s="155"/>
      <c r="U115" s="155"/>
      <c r="V115" s="155"/>
      <c r="W115" s="155"/>
      <c r="X115" s="155"/>
      <c r="Y115" s="155"/>
      <c r="Z115" s="155"/>
      <c r="AB115" s="4"/>
      <c r="AC115" s="4"/>
      <c r="AD115" s="5"/>
    </row>
    <row r="116" spans="1:30" x14ac:dyDescent="0.4">
      <c r="A116" s="87"/>
      <c r="T116" s="155"/>
      <c r="U116" s="155"/>
      <c r="V116" s="155"/>
      <c r="W116" s="155"/>
      <c r="X116" s="155"/>
      <c r="Y116" s="155"/>
      <c r="Z116" s="155"/>
      <c r="AB116" s="4"/>
      <c r="AC116" s="5"/>
    </row>
    <row r="117" spans="1:30" x14ac:dyDescent="0.4">
      <c r="A117" s="87"/>
      <c r="T117" s="155"/>
      <c r="U117" s="155"/>
      <c r="V117" s="155"/>
      <c r="W117" s="155"/>
      <c r="X117" s="155"/>
      <c r="Y117" s="155"/>
      <c r="Z117" s="155"/>
      <c r="AB117" s="4"/>
      <c r="AC117" s="5"/>
    </row>
    <row r="118" spans="1:30" x14ac:dyDescent="0.4">
      <c r="A118" s="87"/>
      <c r="T118" s="155"/>
      <c r="U118" s="155"/>
      <c r="V118" s="155"/>
      <c r="W118" s="155"/>
      <c r="X118" s="155"/>
      <c r="Y118" s="155"/>
      <c r="Z118" s="155"/>
      <c r="AB118" s="4"/>
      <c r="AC118" s="5"/>
    </row>
    <row r="119" spans="1:30" x14ac:dyDescent="0.4">
      <c r="A119" s="87"/>
      <c r="T119" s="210"/>
      <c r="U119" s="210"/>
      <c r="V119" s="210"/>
      <c r="W119" s="210"/>
      <c r="X119" s="210"/>
      <c r="Y119" s="210"/>
      <c r="Z119" s="210"/>
      <c r="AB119" s="4"/>
      <c r="AC119" s="5"/>
    </row>
    <row r="120" spans="1:30" x14ac:dyDescent="0.4">
      <c r="T120" s="211"/>
      <c r="U120" s="211"/>
      <c r="V120" s="211"/>
      <c r="W120" s="211"/>
      <c r="X120" s="211"/>
      <c r="Y120" s="211"/>
      <c r="Z120" s="211"/>
      <c r="AB120" s="4"/>
      <c r="AC120" s="5"/>
    </row>
    <row r="121" spans="1:30" x14ac:dyDescent="0.4">
      <c r="T121" s="211"/>
      <c r="U121" s="211"/>
      <c r="V121" s="211"/>
      <c r="W121" s="211"/>
      <c r="X121" s="211"/>
      <c r="Y121" s="211"/>
      <c r="Z121" s="211"/>
      <c r="AB121" s="4"/>
      <c r="AC121" s="5"/>
    </row>
    <row r="122" spans="1:30" x14ac:dyDescent="0.4">
      <c r="T122" s="210"/>
      <c r="U122" s="210"/>
      <c r="V122" s="210"/>
      <c r="W122" s="210"/>
      <c r="X122" s="210"/>
      <c r="Y122" s="210"/>
      <c r="Z122" s="210"/>
      <c r="AB122" s="4"/>
      <c r="AC122" s="5"/>
    </row>
    <row r="123" spans="1:30" x14ac:dyDescent="0.4">
      <c r="T123" s="210"/>
      <c r="U123" s="210"/>
      <c r="V123" s="210"/>
      <c r="W123" s="210"/>
      <c r="X123" s="210"/>
      <c r="Y123" s="210"/>
      <c r="Z123" s="210"/>
      <c r="AB123" s="4"/>
      <c r="AC123" s="5"/>
    </row>
    <row r="124" spans="1:30" x14ac:dyDescent="0.4">
      <c r="T124" s="210"/>
      <c r="U124" s="210"/>
      <c r="V124" s="210"/>
      <c r="W124" s="210"/>
      <c r="X124" s="210"/>
      <c r="Y124" s="210"/>
      <c r="Z124" s="210"/>
      <c r="AB124" s="4"/>
      <c r="AC124" s="5"/>
    </row>
    <row r="125" spans="1:30" x14ac:dyDescent="0.4">
      <c r="T125" s="211"/>
      <c r="U125" s="211"/>
      <c r="V125" s="211"/>
      <c r="W125" s="211"/>
      <c r="X125" s="211"/>
      <c r="Y125" s="211"/>
      <c r="Z125" s="211"/>
      <c r="AB125" s="4"/>
      <c r="AC125" s="5"/>
    </row>
    <row r="126" spans="1:30" x14ac:dyDescent="0.4">
      <c r="T126" s="210"/>
      <c r="U126" s="210"/>
      <c r="V126" s="210"/>
      <c r="W126" s="210"/>
      <c r="X126" s="210"/>
      <c r="Y126" s="210"/>
      <c r="Z126" s="210"/>
      <c r="AB126" s="4"/>
      <c r="AC126" s="5"/>
    </row>
    <row r="127" spans="1:30" x14ac:dyDescent="0.4">
      <c r="T127" s="211"/>
      <c r="U127" s="211"/>
      <c r="V127" s="211"/>
      <c r="W127" s="211"/>
      <c r="X127" s="211"/>
      <c r="Y127" s="211"/>
      <c r="Z127" s="211"/>
      <c r="AB127" s="4"/>
      <c r="AC127" s="5"/>
    </row>
    <row r="128" spans="1:30" x14ac:dyDescent="0.4">
      <c r="T128" s="211"/>
      <c r="U128" s="211"/>
      <c r="V128" s="211"/>
      <c r="W128" s="211"/>
      <c r="X128" s="211"/>
      <c r="Y128" s="211"/>
      <c r="Z128" s="211"/>
      <c r="AB128" s="4"/>
      <c r="AC128" s="5"/>
    </row>
    <row r="129" spans="20:29" x14ac:dyDescent="0.4">
      <c r="T129" s="210"/>
      <c r="U129" s="210"/>
      <c r="V129" s="210"/>
      <c r="W129" s="210"/>
      <c r="X129" s="210"/>
      <c r="Y129" s="210"/>
      <c r="Z129" s="210"/>
      <c r="AB129" s="4"/>
      <c r="AC129" s="5"/>
    </row>
    <row r="130" spans="20:29" x14ac:dyDescent="0.4">
      <c r="T130" s="211"/>
      <c r="U130" s="211"/>
      <c r="V130" s="211"/>
      <c r="W130" s="211"/>
      <c r="X130" s="211"/>
      <c r="Y130" s="211"/>
      <c r="Z130" s="211"/>
      <c r="AB130" s="4"/>
      <c r="AC130" s="5"/>
    </row>
    <row r="131" spans="20:29" x14ac:dyDescent="0.4">
      <c r="T131" s="211"/>
      <c r="U131" s="211"/>
      <c r="V131" s="211"/>
      <c r="W131" s="211"/>
      <c r="X131" s="211"/>
      <c r="Y131" s="211"/>
      <c r="Z131" s="211"/>
      <c r="AB131" s="4"/>
      <c r="AC131" s="5"/>
    </row>
    <row r="132" spans="20:29" x14ac:dyDescent="0.4">
      <c r="T132" s="155"/>
      <c r="U132" s="155"/>
      <c r="V132" s="155"/>
      <c r="W132" s="155"/>
      <c r="X132" s="155"/>
      <c r="Y132" s="155"/>
      <c r="Z132" s="155"/>
      <c r="AB132" s="4"/>
      <c r="AC132" s="5"/>
    </row>
    <row r="133" spans="20:29" x14ac:dyDescent="0.4">
      <c r="T133" s="155"/>
      <c r="U133" s="155"/>
      <c r="V133" s="155"/>
      <c r="W133" s="155"/>
      <c r="X133" s="155"/>
      <c r="Y133" s="155"/>
      <c r="Z133" s="155"/>
      <c r="AB133" s="4"/>
      <c r="AC133" s="5"/>
    </row>
    <row r="134" spans="20:29" x14ac:dyDescent="0.4">
      <c r="AB134" s="4"/>
      <c r="AC134" s="5"/>
    </row>
    <row r="135" spans="20:29" x14ac:dyDescent="0.4">
      <c r="AB135" s="4"/>
      <c r="AC135" s="5"/>
    </row>
    <row r="136" spans="20:29" x14ac:dyDescent="0.4">
      <c r="AB136" s="4"/>
      <c r="AC136" s="5"/>
    </row>
    <row r="137" spans="20:29" x14ac:dyDescent="0.4">
      <c r="AB137" s="4"/>
      <c r="AC137" s="5"/>
    </row>
    <row r="138" spans="20:29" x14ac:dyDescent="0.4">
      <c r="AB138" s="4"/>
      <c r="AC138" s="5"/>
    </row>
    <row r="139" spans="20:29" x14ac:dyDescent="0.4">
      <c r="AB139" s="4"/>
      <c r="AC139" s="5"/>
    </row>
    <row r="140" spans="20:29" x14ac:dyDescent="0.4">
      <c r="AB140" s="4"/>
      <c r="AC140" s="5"/>
    </row>
    <row r="141" spans="20:29" x14ac:dyDescent="0.4">
      <c r="AB141" s="4"/>
      <c r="AC141" s="5"/>
    </row>
    <row r="142" spans="20:29" x14ac:dyDescent="0.4">
      <c r="AB142" s="4"/>
      <c r="AC142" s="5"/>
    </row>
    <row r="143" spans="20:29" x14ac:dyDescent="0.4">
      <c r="AB143" s="4"/>
      <c r="AC143" s="5"/>
    </row>
    <row r="144" spans="20:29" x14ac:dyDescent="0.4">
      <c r="AB144" s="4"/>
      <c r="AC144" s="5"/>
    </row>
    <row r="145" spans="28:29" x14ac:dyDescent="0.4">
      <c r="AB145" s="4"/>
      <c r="AC145" s="5"/>
    </row>
    <row r="146" spans="28:29" x14ac:dyDescent="0.4">
      <c r="AB146" s="4"/>
      <c r="AC146" s="5"/>
    </row>
    <row r="147" spans="28:29" x14ac:dyDescent="0.4">
      <c r="AB147" s="4"/>
      <c r="AC147" s="5"/>
    </row>
    <row r="148" spans="28:29" x14ac:dyDescent="0.4">
      <c r="AB148" s="4"/>
      <c r="AC148" s="5"/>
    </row>
    <row r="149" spans="28:29" x14ac:dyDescent="0.4">
      <c r="AB149" s="4"/>
      <c r="AC149" s="5"/>
    </row>
    <row r="150" spans="28:29" x14ac:dyDescent="0.4">
      <c r="AB150" s="4"/>
      <c r="AC150" s="5"/>
    </row>
    <row r="151" spans="28:29" x14ac:dyDescent="0.4">
      <c r="AB151" s="4"/>
      <c r="AC151" s="5"/>
    </row>
    <row r="152" spans="28:29" x14ac:dyDescent="0.4">
      <c r="AB152" s="4"/>
      <c r="AC152" s="5"/>
    </row>
    <row r="153" spans="28:29" x14ac:dyDescent="0.4">
      <c r="AB153" s="4"/>
      <c r="AC153" s="5"/>
    </row>
    <row r="154" spans="28:29" x14ac:dyDescent="0.4">
      <c r="AB154" s="4"/>
      <c r="AC154" s="5"/>
    </row>
    <row r="155" spans="28:29" x14ac:dyDescent="0.4">
      <c r="AB155" s="4"/>
      <c r="AC155" s="5"/>
    </row>
    <row r="156" spans="28:29" x14ac:dyDescent="0.4">
      <c r="AB156" s="4"/>
      <c r="AC156" s="5"/>
    </row>
    <row r="157" spans="28:29" x14ac:dyDescent="0.4">
      <c r="AB157" s="4"/>
      <c r="AC157" s="5"/>
    </row>
    <row r="158" spans="28:29" x14ac:dyDescent="0.4">
      <c r="AB158" s="4"/>
      <c r="AC158" s="5"/>
    </row>
    <row r="159" spans="28:29" x14ac:dyDescent="0.4">
      <c r="AB159" s="4"/>
      <c r="AC159" s="5"/>
    </row>
    <row r="160" spans="28:29" x14ac:dyDescent="0.4">
      <c r="AB160" s="4"/>
      <c r="AC160" s="5"/>
    </row>
    <row r="161" spans="28:29" x14ac:dyDescent="0.4">
      <c r="AB161" s="4"/>
      <c r="AC161" s="5"/>
    </row>
    <row r="162" spans="28:29" x14ac:dyDescent="0.4">
      <c r="AB162" s="4"/>
      <c r="AC162" s="5"/>
    </row>
    <row r="163" spans="28:29" x14ac:dyDescent="0.4">
      <c r="AB163" s="4"/>
      <c r="AC163" s="5"/>
    </row>
    <row r="164" spans="28:29" x14ac:dyDescent="0.4">
      <c r="AB164" s="4"/>
      <c r="AC164" s="5"/>
    </row>
    <row r="165" spans="28:29" x14ac:dyDescent="0.4">
      <c r="AB165" s="4"/>
      <c r="AC165" s="5"/>
    </row>
    <row r="166" spans="28:29" x14ac:dyDescent="0.4">
      <c r="AB166" s="4"/>
      <c r="AC166" s="5"/>
    </row>
    <row r="167" spans="28:29" x14ac:dyDescent="0.4">
      <c r="AB167" s="4"/>
      <c r="AC167" s="5"/>
    </row>
    <row r="168" spans="28:29" x14ac:dyDescent="0.4">
      <c r="AB168" s="4"/>
      <c r="AC168" s="5"/>
    </row>
    <row r="169" spans="28:29" x14ac:dyDescent="0.4">
      <c r="AB169" s="4"/>
      <c r="AC169" s="5"/>
    </row>
    <row r="170" spans="28:29" x14ac:dyDescent="0.4">
      <c r="AB170" s="4"/>
      <c r="AC170" s="5"/>
    </row>
    <row r="171" spans="28:29" x14ac:dyDescent="0.4">
      <c r="AB171" s="4"/>
      <c r="AC171" s="5"/>
    </row>
    <row r="172" spans="28:29" x14ac:dyDescent="0.4">
      <c r="AB172" s="4"/>
      <c r="AC172" s="5"/>
    </row>
    <row r="173" spans="28:29" x14ac:dyDescent="0.4">
      <c r="AB173" s="4"/>
      <c r="AC173" s="5"/>
    </row>
    <row r="174" spans="28:29" x14ac:dyDescent="0.4">
      <c r="AB174" s="4"/>
      <c r="AC174" s="5"/>
    </row>
    <row r="175" spans="28:29" x14ac:dyDescent="0.4">
      <c r="AB175" s="4"/>
      <c r="AC175" s="5"/>
    </row>
    <row r="176" spans="28:29" x14ac:dyDescent="0.4">
      <c r="AB176" s="4"/>
      <c r="AC176" s="5"/>
    </row>
    <row r="177" spans="28:29" x14ac:dyDescent="0.4">
      <c r="AB177" s="4"/>
      <c r="AC177" s="5"/>
    </row>
    <row r="178" spans="28:29" x14ac:dyDescent="0.4">
      <c r="AB178" s="4"/>
      <c r="AC178" s="5"/>
    </row>
    <row r="179" spans="28:29" x14ac:dyDescent="0.4">
      <c r="AB179" s="4"/>
      <c r="AC179" s="5"/>
    </row>
    <row r="180" spans="28:29" x14ac:dyDescent="0.4">
      <c r="AB180" s="4"/>
      <c r="AC180" s="5"/>
    </row>
    <row r="181" spans="28:29" x14ac:dyDescent="0.4">
      <c r="AB181" s="4"/>
      <c r="AC181" s="5"/>
    </row>
    <row r="182" spans="28:29" x14ac:dyDescent="0.4">
      <c r="AB182" s="4"/>
      <c r="AC182" s="5"/>
    </row>
    <row r="183" spans="28:29" x14ac:dyDescent="0.4">
      <c r="AB183" s="4"/>
      <c r="AC183" s="5"/>
    </row>
    <row r="184" spans="28:29" x14ac:dyDescent="0.4">
      <c r="AB184" s="4"/>
      <c r="AC184" s="5"/>
    </row>
    <row r="185" spans="28:29" x14ac:dyDescent="0.4">
      <c r="AB185" s="4"/>
      <c r="AC185" s="5"/>
    </row>
    <row r="186" spans="28:29" x14ac:dyDescent="0.4">
      <c r="AB186" s="4"/>
      <c r="AC186" s="5"/>
    </row>
    <row r="187" spans="28:29" x14ac:dyDescent="0.4">
      <c r="AB187" s="4"/>
      <c r="AC187" s="5"/>
    </row>
    <row r="188" spans="28:29" x14ac:dyDescent="0.4">
      <c r="AB188" s="4"/>
      <c r="AC188" s="5"/>
    </row>
    <row r="189" spans="28:29" x14ac:dyDescent="0.4">
      <c r="AB189" s="4"/>
      <c r="AC189" s="5"/>
    </row>
    <row r="190" spans="28:29" x14ac:dyDescent="0.4">
      <c r="AB190" s="4"/>
      <c r="AC190" s="5"/>
    </row>
    <row r="191" spans="28:29" x14ac:dyDescent="0.4">
      <c r="AB191" s="4"/>
      <c r="AC191" s="5"/>
    </row>
    <row r="192" spans="28:29" x14ac:dyDescent="0.4">
      <c r="AB192" s="4"/>
      <c r="AC192" s="5"/>
    </row>
    <row r="193" spans="28:29" x14ac:dyDescent="0.4">
      <c r="AB193" s="4"/>
      <c r="AC193" s="5"/>
    </row>
    <row r="194" spans="28:29" x14ac:dyDescent="0.4">
      <c r="AB194" s="4"/>
      <c r="AC194" s="5"/>
    </row>
    <row r="195" spans="28:29" x14ac:dyDescent="0.4">
      <c r="AB195" s="4"/>
      <c r="AC195" s="5"/>
    </row>
    <row r="196" spans="28:29" x14ac:dyDescent="0.4">
      <c r="AB196" s="4"/>
      <c r="AC196" s="5"/>
    </row>
    <row r="197" spans="28:29" x14ac:dyDescent="0.4">
      <c r="AB197" s="4"/>
      <c r="AC197" s="5"/>
    </row>
    <row r="198" spans="28:29" x14ac:dyDescent="0.4">
      <c r="AB198" s="4"/>
      <c r="AC198" s="5"/>
    </row>
    <row r="199" spans="28:29" x14ac:dyDescent="0.4">
      <c r="AB199" s="4"/>
      <c r="AC199" s="5"/>
    </row>
    <row r="200" spans="28:29" x14ac:dyDescent="0.4">
      <c r="AB200" s="4"/>
      <c r="AC200" s="5"/>
    </row>
    <row r="201" spans="28:29" x14ac:dyDescent="0.4">
      <c r="AB201" s="4"/>
      <c r="AC201" s="5"/>
    </row>
    <row r="202" spans="28:29" x14ac:dyDescent="0.4">
      <c r="AB202" s="4"/>
      <c r="AC202" s="5"/>
    </row>
    <row r="203" spans="28:29" x14ac:dyDescent="0.4">
      <c r="AB203" s="4"/>
      <c r="AC203" s="5"/>
    </row>
    <row r="204" spans="28:29" x14ac:dyDescent="0.4">
      <c r="AB204" s="4"/>
      <c r="AC204" s="5"/>
    </row>
    <row r="205" spans="28:29" x14ac:dyDescent="0.4">
      <c r="AB205" s="4"/>
      <c r="AC205" s="5"/>
    </row>
    <row r="206" spans="28:29" x14ac:dyDescent="0.4">
      <c r="AB206" s="4"/>
      <c r="AC206" s="5"/>
    </row>
    <row r="207" spans="28:29" x14ac:dyDescent="0.4">
      <c r="AB207" s="4"/>
      <c r="AC207" s="5"/>
    </row>
    <row r="208" spans="28:29" x14ac:dyDescent="0.4">
      <c r="AB208" s="4"/>
      <c r="AC208" s="5"/>
    </row>
    <row r="209" spans="28:29" x14ac:dyDescent="0.4">
      <c r="AB209" s="4"/>
      <c r="AC209" s="5"/>
    </row>
    <row r="210" spans="28:29" x14ac:dyDescent="0.4">
      <c r="AB210" s="4"/>
      <c r="AC210" s="5"/>
    </row>
    <row r="211" spans="28:29" x14ac:dyDescent="0.4">
      <c r="AB211" s="4"/>
      <c r="AC211" s="5"/>
    </row>
    <row r="212" spans="28:29" x14ac:dyDescent="0.4">
      <c r="AB212" s="4"/>
      <c r="AC212" s="5"/>
    </row>
    <row r="213" spans="28:29" x14ac:dyDescent="0.4">
      <c r="AB213" s="4"/>
      <c r="AC213" s="5"/>
    </row>
    <row r="214" spans="28:29" x14ac:dyDescent="0.4">
      <c r="AB214" s="4"/>
      <c r="AC214" s="5"/>
    </row>
    <row r="215" spans="28:29" x14ac:dyDescent="0.4">
      <c r="AB215" s="4"/>
      <c r="AC215" s="5"/>
    </row>
    <row r="216" spans="28:29" x14ac:dyDescent="0.4">
      <c r="AB216" s="4"/>
      <c r="AC216" s="5"/>
    </row>
    <row r="217" spans="28:29" x14ac:dyDescent="0.4">
      <c r="AB217" s="4"/>
      <c r="AC217" s="5"/>
    </row>
    <row r="218" spans="28:29" x14ac:dyDescent="0.4">
      <c r="AB218" s="4"/>
      <c r="AC218" s="5"/>
    </row>
    <row r="219" spans="28:29" x14ac:dyDescent="0.4">
      <c r="AB219" s="4"/>
      <c r="AC219" s="5"/>
    </row>
    <row r="220" spans="28:29" x14ac:dyDescent="0.4">
      <c r="AB220" s="4"/>
      <c r="AC220" s="5"/>
    </row>
    <row r="221" spans="28:29" x14ac:dyDescent="0.4">
      <c r="AB221" s="4"/>
      <c r="AC221" s="5"/>
    </row>
    <row r="222" spans="28:29" x14ac:dyDescent="0.4">
      <c r="AB222" s="4"/>
      <c r="AC222" s="5"/>
    </row>
    <row r="223" spans="28:29" x14ac:dyDescent="0.4">
      <c r="AB223" s="4"/>
      <c r="AC223" s="5"/>
    </row>
    <row r="224" spans="28:29" x14ac:dyDescent="0.4">
      <c r="AB224" s="4"/>
      <c r="AC224" s="5"/>
    </row>
    <row r="225" spans="28:29" x14ac:dyDescent="0.4">
      <c r="AB225" s="4"/>
      <c r="AC225" s="5"/>
    </row>
    <row r="226" spans="28:29" x14ac:dyDescent="0.4">
      <c r="AB226" s="4"/>
      <c r="AC226" s="5"/>
    </row>
    <row r="227" spans="28:29" x14ac:dyDescent="0.4">
      <c r="AB227" s="4"/>
      <c r="AC227" s="5"/>
    </row>
    <row r="228" spans="28:29" x14ac:dyDescent="0.4">
      <c r="AB228" s="4"/>
      <c r="AC228" s="5"/>
    </row>
    <row r="229" spans="28:29" x14ac:dyDescent="0.4">
      <c r="AB229" s="4"/>
      <c r="AC229" s="5"/>
    </row>
    <row r="230" spans="28:29" x14ac:dyDescent="0.4">
      <c r="AB230" s="4"/>
      <c r="AC230" s="5"/>
    </row>
    <row r="231" spans="28:29" x14ac:dyDescent="0.4">
      <c r="AB231" s="4"/>
      <c r="AC231" s="5"/>
    </row>
    <row r="232" spans="28:29" x14ac:dyDescent="0.4">
      <c r="AB232" s="4"/>
      <c r="AC232" s="5"/>
    </row>
    <row r="233" spans="28:29" x14ac:dyDescent="0.4">
      <c r="AB233" s="4"/>
      <c r="AC233" s="5"/>
    </row>
    <row r="234" spans="28:29" x14ac:dyDescent="0.4">
      <c r="AB234" s="4"/>
      <c r="AC234" s="5"/>
    </row>
    <row r="235" spans="28:29" x14ac:dyDescent="0.4">
      <c r="AB235" s="4"/>
      <c r="AC235" s="5"/>
    </row>
    <row r="236" spans="28:29" x14ac:dyDescent="0.4">
      <c r="AB236" s="4"/>
      <c r="AC236" s="5"/>
    </row>
    <row r="237" spans="28:29" x14ac:dyDescent="0.4">
      <c r="AB237" s="4"/>
      <c r="AC237" s="5"/>
    </row>
    <row r="238" spans="28:29" x14ac:dyDescent="0.4">
      <c r="AB238" s="4"/>
      <c r="AC238" s="5"/>
    </row>
    <row r="239" spans="28:29" x14ac:dyDescent="0.4">
      <c r="AB239" s="4"/>
      <c r="AC239" s="5"/>
    </row>
    <row r="240" spans="28:29" x14ac:dyDescent="0.4">
      <c r="AB240" s="4"/>
      <c r="AC240" s="5"/>
    </row>
    <row r="241" spans="28:29" x14ac:dyDescent="0.4">
      <c r="AB241" s="4"/>
      <c r="AC241" s="5"/>
    </row>
    <row r="242" spans="28:29" x14ac:dyDescent="0.4">
      <c r="AB242" s="4"/>
      <c r="AC242" s="5"/>
    </row>
    <row r="243" spans="28:29" x14ac:dyDescent="0.4">
      <c r="AB243" s="4"/>
      <c r="AC243" s="5"/>
    </row>
    <row r="244" spans="28:29" x14ac:dyDescent="0.4">
      <c r="AB244" s="4"/>
      <c r="AC244" s="5"/>
    </row>
    <row r="245" spans="28:29" x14ac:dyDescent="0.4">
      <c r="AB245" s="4"/>
      <c r="AC245" s="5"/>
    </row>
    <row r="246" spans="28:29" x14ac:dyDescent="0.4">
      <c r="AB246" s="4"/>
      <c r="AC246" s="5"/>
    </row>
    <row r="247" spans="28:29" x14ac:dyDescent="0.4">
      <c r="AB247" s="4"/>
      <c r="AC247" s="5"/>
    </row>
    <row r="248" spans="28:29" x14ac:dyDescent="0.4">
      <c r="AB248" s="4"/>
      <c r="AC248" s="5"/>
    </row>
    <row r="249" spans="28:29" x14ac:dyDescent="0.4">
      <c r="AB249" s="4"/>
      <c r="AC249" s="5"/>
    </row>
    <row r="250" spans="28:29" x14ac:dyDescent="0.4">
      <c r="AB250" s="4"/>
      <c r="AC250" s="5"/>
    </row>
    <row r="251" spans="28:29" x14ac:dyDescent="0.4">
      <c r="AB251" s="4"/>
      <c r="AC251" s="5"/>
    </row>
    <row r="252" spans="28:29" x14ac:dyDescent="0.4">
      <c r="AB252" s="4"/>
      <c r="AC252" s="5"/>
    </row>
    <row r="253" spans="28:29" x14ac:dyDescent="0.4">
      <c r="AB253" s="4"/>
      <c r="AC253" s="5"/>
    </row>
    <row r="254" spans="28:29" x14ac:dyDescent="0.4">
      <c r="AB254" s="4"/>
      <c r="AC254" s="5"/>
    </row>
    <row r="255" spans="28:29" x14ac:dyDescent="0.4">
      <c r="AB255" s="4"/>
      <c r="AC255" s="5"/>
    </row>
    <row r="256" spans="28:29" x14ac:dyDescent="0.4">
      <c r="AB256" s="4"/>
      <c r="AC256" s="5"/>
    </row>
    <row r="257" spans="28:29" x14ac:dyDescent="0.4">
      <c r="AB257" s="4"/>
      <c r="AC257" s="5"/>
    </row>
    <row r="258" spans="28:29" x14ac:dyDescent="0.4">
      <c r="AB258" s="4"/>
      <c r="AC258" s="5"/>
    </row>
    <row r="259" spans="28:29" x14ac:dyDescent="0.4">
      <c r="AB259" s="4"/>
      <c r="AC259" s="5"/>
    </row>
    <row r="260" spans="28:29" x14ac:dyDescent="0.4">
      <c r="AB260" s="4"/>
      <c r="AC260" s="5"/>
    </row>
    <row r="261" spans="28:29" x14ac:dyDescent="0.4">
      <c r="AB261" s="4"/>
      <c r="AC261" s="5"/>
    </row>
    <row r="262" spans="28:29" x14ac:dyDescent="0.4">
      <c r="AB262" s="4"/>
      <c r="AC262" s="5"/>
    </row>
    <row r="263" spans="28:29" x14ac:dyDescent="0.4">
      <c r="AB263" s="4"/>
      <c r="AC263" s="5"/>
    </row>
    <row r="264" spans="28:29" x14ac:dyDescent="0.4">
      <c r="AB264" s="4"/>
      <c r="AC264" s="5"/>
    </row>
    <row r="265" spans="28:29" x14ac:dyDescent="0.4">
      <c r="AB265" s="4"/>
      <c r="AC265" s="5"/>
    </row>
    <row r="266" spans="28:29" x14ac:dyDescent="0.4">
      <c r="AB266" s="4"/>
      <c r="AC266" s="5"/>
    </row>
    <row r="267" spans="28:29" x14ac:dyDescent="0.4">
      <c r="AB267" s="4"/>
      <c r="AC267" s="5"/>
    </row>
    <row r="268" spans="28:29" x14ac:dyDescent="0.4">
      <c r="AB268" s="4"/>
      <c r="AC268" s="5"/>
    </row>
    <row r="269" spans="28:29" x14ac:dyDescent="0.4">
      <c r="AB269" s="4"/>
      <c r="AC269" s="5"/>
    </row>
    <row r="270" spans="28:29" x14ac:dyDescent="0.4">
      <c r="AB270" s="4"/>
      <c r="AC270" s="5"/>
    </row>
    <row r="271" spans="28:29" x14ac:dyDescent="0.4">
      <c r="AB271" s="4"/>
      <c r="AC271" s="5"/>
    </row>
    <row r="272" spans="28:29" x14ac:dyDescent="0.4">
      <c r="AB272" s="4"/>
      <c r="AC272" s="5"/>
    </row>
    <row r="273" spans="28:29" x14ac:dyDescent="0.4">
      <c r="AB273" s="4"/>
      <c r="AC273" s="5"/>
    </row>
    <row r="274" spans="28:29" x14ac:dyDescent="0.4">
      <c r="AB274" s="4"/>
      <c r="AC274" s="5"/>
    </row>
    <row r="275" spans="28:29" x14ac:dyDescent="0.4">
      <c r="AB275" s="4"/>
      <c r="AC275" s="5"/>
    </row>
    <row r="276" spans="28:29" x14ac:dyDescent="0.4">
      <c r="AB276" s="4"/>
      <c r="AC276" s="5"/>
    </row>
    <row r="277" spans="28:29" x14ac:dyDescent="0.4">
      <c r="AB277" s="4"/>
      <c r="AC277" s="5"/>
    </row>
    <row r="278" spans="28:29" x14ac:dyDescent="0.4">
      <c r="AB278" s="4"/>
      <c r="AC278" s="5"/>
    </row>
    <row r="279" spans="28:29" x14ac:dyDescent="0.4">
      <c r="AB279" s="4"/>
      <c r="AC279" s="5"/>
    </row>
    <row r="280" spans="28:29" x14ac:dyDescent="0.4">
      <c r="AB280" s="4"/>
      <c r="AC280" s="5"/>
    </row>
    <row r="281" spans="28:29" x14ac:dyDescent="0.4">
      <c r="AB281" s="4"/>
      <c r="AC281" s="5"/>
    </row>
    <row r="282" spans="28:29" x14ac:dyDescent="0.4">
      <c r="AB282" s="4"/>
      <c r="AC282" s="39"/>
    </row>
    <row r="283" spans="28:29" x14ac:dyDescent="0.4">
      <c r="AB283" s="4"/>
      <c r="AC283" s="39"/>
    </row>
    <row r="284" spans="28:29" x14ac:dyDescent="0.4">
      <c r="AB284" s="4"/>
      <c r="AC284" s="39"/>
    </row>
    <row r="285" spans="28:29" x14ac:dyDescent="0.4">
      <c r="AB285" s="39"/>
      <c r="AC285" s="39"/>
    </row>
    <row r="286" spans="28:29" x14ac:dyDescent="0.4">
      <c r="AB286" s="39"/>
      <c r="AC286" s="39"/>
    </row>
    <row r="287" spans="28:29" x14ac:dyDescent="0.4">
      <c r="AB287" s="39"/>
      <c r="AC287" s="39"/>
    </row>
  </sheetData>
  <mergeCells count="3">
    <mergeCell ref="A1:AC1"/>
    <mergeCell ref="A2:AC2"/>
    <mergeCell ref="A3:A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282"/>
  <sheetViews>
    <sheetView topLeftCell="L10" workbookViewId="0">
      <selection activeCell="R8" sqref="R8"/>
    </sheetView>
  </sheetViews>
  <sheetFormatPr defaultColWidth="9.15234375" defaultRowHeight="14.6" x14ac:dyDescent="0.4"/>
  <cols>
    <col min="1" max="1" width="0" style="2" hidden="1" customWidth="1"/>
    <col min="2" max="2" width="25.84375" style="2" bestFit="1" customWidth="1"/>
    <col min="3" max="4" width="9.15234375" style="2"/>
    <col min="5" max="5" width="2.69140625" style="2" customWidth="1"/>
    <col min="6" max="18" width="9.15234375" style="2" customWidth="1"/>
    <col min="19" max="19" width="2.69140625" style="37" customWidth="1"/>
    <col min="20" max="20" width="8" style="37" bestFit="1" customWidth="1"/>
    <col min="21" max="25" width="8" style="37" customWidth="1"/>
    <col min="26" max="26" width="9.15234375" style="2"/>
    <col min="27" max="27" width="2.53515625" style="2" customWidth="1"/>
    <col min="28" max="28" width="9.15234375" style="2" bestFit="1" customWidth="1"/>
    <col min="29" max="29" width="9.53515625" style="2" bestFit="1" customWidth="1"/>
    <col min="30" max="16384" width="9.15234375" style="2"/>
  </cols>
  <sheetData>
    <row r="1" spans="1:30" x14ac:dyDescent="0.4">
      <c r="A1" s="294" t="s">
        <v>233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94"/>
      <c r="Y1" s="294"/>
      <c r="Z1" s="294"/>
      <c r="AA1" s="294"/>
      <c r="AB1" s="294"/>
      <c r="AC1" s="294"/>
    </row>
    <row r="2" spans="1:30" ht="15" customHeight="1" x14ac:dyDescent="0.4">
      <c r="A2" s="294" t="s">
        <v>0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W2" s="294"/>
      <c r="X2" s="294"/>
      <c r="Y2" s="294"/>
      <c r="Z2" s="294"/>
      <c r="AA2" s="294"/>
      <c r="AB2" s="294"/>
      <c r="AC2" s="294"/>
    </row>
    <row r="3" spans="1:30" ht="15" customHeight="1" x14ac:dyDescent="0.4">
      <c r="A3" s="294" t="s">
        <v>248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  <c r="P3" s="294"/>
      <c r="Q3" s="294"/>
      <c r="R3" s="294"/>
      <c r="S3" s="294"/>
      <c r="T3" s="294"/>
      <c r="U3" s="294"/>
      <c r="V3" s="294"/>
      <c r="W3" s="294"/>
      <c r="X3" s="294"/>
      <c r="Y3" s="294"/>
      <c r="Z3" s="294"/>
      <c r="AA3" s="294"/>
      <c r="AB3" s="294"/>
      <c r="AC3" s="294"/>
    </row>
    <row r="4" spans="1:30" ht="15" customHeight="1" x14ac:dyDescent="0.4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9"/>
      <c r="T4" s="69"/>
      <c r="U4" s="69"/>
      <c r="V4" s="69"/>
      <c r="W4" s="69"/>
      <c r="X4" s="69"/>
      <c r="Y4" s="69"/>
    </row>
    <row r="5" spans="1:30" x14ac:dyDescent="0.4">
      <c r="A5" s="70" t="s">
        <v>1</v>
      </c>
      <c r="B5" s="71" t="s">
        <v>2</v>
      </c>
      <c r="C5" s="71" t="s">
        <v>235</v>
      </c>
      <c r="D5" s="71" t="s">
        <v>3</v>
      </c>
      <c r="E5" s="72"/>
      <c r="F5" s="71" t="s">
        <v>4</v>
      </c>
      <c r="G5" s="71" t="s">
        <v>5</v>
      </c>
      <c r="H5" s="71" t="s">
        <v>6</v>
      </c>
      <c r="I5" s="71" t="s">
        <v>7</v>
      </c>
      <c r="J5" s="71" t="s">
        <v>8</v>
      </c>
      <c r="K5" s="71" t="s">
        <v>9</v>
      </c>
      <c r="L5" s="71" t="s">
        <v>10</v>
      </c>
      <c r="M5" s="71" t="s">
        <v>11</v>
      </c>
      <c r="N5" s="71" t="s">
        <v>12</v>
      </c>
      <c r="O5" s="71" t="s">
        <v>13</v>
      </c>
      <c r="P5" s="71" t="s">
        <v>14</v>
      </c>
      <c r="Q5" s="71" t="s">
        <v>15</v>
      </c>
      <c r="R5" s="71" t="s">
        <v>242</v>
      </c>
      <c r="S5" s="73"/>
      <c r="T5" s="160" t="s">
        <v>16</v>
      </c>
      <c r="U5" s="160" t="s">
        <v>244</v>
      </c>
      <c r="V5" s="160" t="s">
        <v>245</v>
      </c>
      <c r="W5" s="160" t="s">
        <v>246</v>
      </c>
      <c r="X5" s="160" t="s">
        <v>247</v>
      </c>
      <c r="Y5" s="160" t="s">
        <v>249</v>
      </c>
      <c r="Z5" s="160" t="s">
        <v>17</v>
      </c>
      <c r="AA5" s="73"/>
      <c r="AB5" s="195" t="s">
        <v>238</v>
      </c>
      <c r="AC5" s="29" t="s">
        <v>240</v>
      </c>
      <c r="AD5" s="29" t="s">
        <v>239</v>
      </c>
    </row>
    <row r="6" spans="1:30" x14ac:dyDescent="0.4">
      <c r="A6" s="74"/>
      <c r="B6" s="75" t="s">
        <v>18</v>
      </c>
      <c r="C6" s="76"/>
      <c r="D6" s="76"/>
      <c r="E6" s="77" t="s">
        <v>19</v>
      </c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8"/>
      <c r="T6" s="161"/>
      <c r="U6" s="161"/>
      <c r="V6" s="161"/>
      <c r="W6" s="161"/>
      <c r="X6" s="161"/>
      <c r="Y6" s="161"/>
      <c r="Z6" s="161"/>
      <c r="AA6" s="76"/>
    </row>
    <row r="7" spans="1:30" x14ac:dyDescent="0.4">
      <c r="A7" s="74"/>
      <c r="B7" s="75" t="s">
        <v>20</v>
      </c>
      <c r="C7" s="76"/>
      <c r="D7" s="76"/>
      <c r="E7" s="77" t="s">
        <v>19</v>
      </c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8"/>
      <c r="T7" s="161"/>
      <c r="U7" s="161"/>
      <c r="V7" s="161"/>
      <c r="W7" s="161"/>
      <c r="X7" s="161"/>
      <c r="Y7" s="161"/>
      <c r="Z7" s="161"/>
      <c r="AA7" s="76"/>
    </row>
    <row r="8" spans="1:30" x14ac:dyDescent="0.4">
      <c r="A8" s="74" t="s">
        <v>21</v>
      </c>
      <c r="B8" s="201" t="s">
        <v>22</v>
      </c>
      <c r="C8" s="162">
        <v>1205312.56</v>
      </c>
      <c r="D8" s="162">
        <v>100442.71333333333</v>
      </c>
      <c r="E8" s="202" t="s">
        <v>19</v>
      </c>
      <c r="F8" s="162">
        <v>228674.93</v>
      </c>
      <c r="G8" s="162">
        <v>60903.5</v>
      </c>
      <c r="H8" s="162">
        <v>142110.32999999999</v>
      </c>
      <c r="I8" s="162">
        <v>88462.1</v>
      </c>
      <c r="J8" s="162">
        <v>184745.02</v>
      </c>
      <c r="K8" s="162">
        <v>55602.96</v>
      </c>
      <c r="L8" s="162">
        <v>35677.39</v>
      </c>
      <c r="M8" s="162">
        <v>208209.56</v>
      </c>
      <c r="N8" s="162">
        <v>59606.43</v>
      </c>
      <c r="O8" s="162">
        <v>28002</v>
      </c>
      <c r="P8" s="162">
        <v>182917.61</v>
      </c>
      <c r="Q8" s="162">
        <v>37288.06</v>
      </c>
      <c r="R8" s="162">
        <v>1312199.8899999999</v>
      </c>
      <c r="S8" s="17"/>
      <c r="T8" s="162">
        <v>198775.75</v>
      </c>
      <c r="U8" s="162">
        <v>87868.88</v>
      </c>
      <c r="V8" s="162">
        <v>111933.26</v>
      </c>
      <c r="W8" s="162">
        <v>72834.880000000005</v>
      </c>
      <c r="X8" s="162">
        <v>152694.88</v>
      </c>
      <c r="Y8" s="162">
        <v>215729.94</v>
      </c>
      <c r="Z8" s="162">
        <v>839837.59</v>
      </c>
      <c r="AA8" s="79"/>
      <c r="AB8" s="180">
        <f t="shared" ref="AB8:AB13" si="0">SUM(F8:K8)</f>
        <v>760498.84</v>
      </c>
      <c r="AC8" s="224">
        <f>+Z8-AB8</f>
        <v>79338.75</v>
      </c>
      <c r="AD8" s="8">
        <f>+AC8/AB8</f>
        <v>0.10432461672130888</v>
      </c>
    </row>
    <row r="9" spans="1:30" x14ac:dyDescent="0.4">
      <c r="A9" s="74" t="s">
        <v>27</v>
      </c>
      <c r="B9" s="201" t="s">
        <v>28</v>
      </c>
      <c r="C9" s="162">
        <v>11000</v>
      </c>
      <c r="D9" s="162">
        <v>916.66666666666674</v>
      </c>
      <c r="E9" s="202" t="s">
        <v>19</v>
      </c>
      <c r="F9" s="161"/>
      <c r="G9" s="161"/>
      <c r="H9" s="161"/>
      <c r="I9" s="161"/>
      <c r="J9" s="161"/>
      <c r="K9" s="161"/>
      <c r="L9" s="162">
        <v>47000</v>
      </c>
      <c r="M9" s="162">
        <v>10000</v>
      </c>
      <c r="N9" s="162">
        <v>5257.78</v>
      </c>
      <c r="O9" s="162">
        <v>10000</v>
      </c>
      <c r="P9" s="162"/>
      <c r="Q9" s="162">
        <v>6500</v>
      </c>
      <c r="R9" s="162">
        <v>78757.78</v>
      </c>
      <c r="S9" s="17"/>
      <c r="T9" s="162">
        <v>13667.6</v>
      </c>
      <c r="U9" s="162">
        <v>17130.46</v>
      </c>
      <c r="V9" s="162">
        <v>17533.78</v>
      </c>
      <c r="W9" s="162">
        <v>7963.78</v>
      </c>
      <c r="X9" s="162">
        <v>5968.22</v>
      </c>
      <c r="Y9" s="162">
        <v>1000</v>
      </c>
      <c r="Z9" s="162">
        <v>63263.839999999997</v>
      </c>
      <c r="AA9" s="79"/>
      <c r="AB9" s="180">
        <f t="shared" si="0"/>
        <v>0</v>
      </c>
      <c r="AC9" s="224">
        <f t="shared" ref="AC9:AC13" si="1">+Z9-AB9</f>
        <v>63263.839999999997</v>
      </c>
      <c r="AD9" s="8" t="e">
        <f t="shared" ref="AD9:AD13" si="2">+AC9/AB9</f>
        <v>#DIV/0!</v>
      </c>
    </row>
    <row r="10" spans="1:30" x14ac:dyDescent="0.4">
      <c r="A10" s="74" t="s">
        <v>29</v>
      </c>
      <c r="B10" s="201" t="s">
        <v>30</v>
      </c>
      <c r="C10" s="162">
        <v>1278.48</v>
      </c>
      <c r="D10" s="162">
        <v>106.54</v>
      </c>
      <c r="E10" s="202" t="s">
        <v>19</v>
      </c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7"/>
      <c r="T10" s="161"/>
      <c r="U10" s="161"/>
      <c r="V10" s="161"/>
      <c r="W10" s="161"/>
      <c r="X10" s="161"/>
      <c r="Y10" s="161"/>
      <c r="Z10" s="161"/>
      <c r="AA10" s="79"/>
      <c r="AB10" s="180">
        <f t="shared" si="0"/>
        <v>0</v>
      </c>
      <c r="AC10" s="224">
        <f t="shared" si="1"/>
        <v>0</v>
      </c>
      <c r="AD10" s="8" t="e">
        <f t="shared" si="2"/>
        <v>#DIV/0!</v>
      </c>
    </row>
    <row r="11" spans="1:30" x14ac:dyDescent="0.4">
      <c r="A11" s="74" t="s">
        <v>36</v>
      </c>
      <c r="B11" s="201" t="s">
        <v>37</v>
      </c>
      <c r="C11" s="162">
        <v>7546.5</v>
      </c>
      <c r="D11" s="162">
        <v>628.875</v>
      </c>
      <c r="E11" s="202" t="s">
        <v>19</v>
      </c>
      <c r="F11" s="161"/>
      <c r="G11" s="161"/>
      <c r="H11" s="161"/>
      <c r="I11" s="161"/>
      <c r="J11" s="161"/>
      <c r="K11" s="161"/>
      <c r="L11" s="161"/>
      <c r="M11" s="161"/>
      <c r="N11" s="161"/>
      <c r="O11" s="161"/>
      <c r="P11" s="161"/>
      <c r="Q11" s="161"/>
      <c r="R11" s="161"/>
      <c r="S11" s="17"/>
      <c r="T11" s="161"/>
      <c r="U11" s="161"/>
      <c r="V11" s="161"/>
      <c r="W11" s="161"/>
      <c r="X11" s="161"/>
      <c r="Y11" s="161"/>
      <c r="Z11" s="161"/>
      <c r="AA11" s="76"/>
      <c r="AB11" s="180">
        <f t="shared" si="0"/>
        <v>0</v>
      </c>
      <c r="AC11" s="224">
        <f t="shared" si="1"/>
        <v>0</v>
      </c>
      <c r="AD11" s="8" t="e">
        <f t="shared" si="2"/>
        <v>#DIV/0!</v>
      </c>
    </row>
    <row r="12" spans="1:30" x14ac:dyDescent="0.4">
      <c r="A12" s="74"/>
      <c r="B12" s="201" t="s">
        <v>49</v>
      </c>
      <c r="C12" s="162"/>
      <c r="D12" s="162"/>
      <c r="E12" s="202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161"/>
      <c r="S12" s="78"/>
      <c r="T12" s="161"/>
      <c r="U12" s="162">
        <v>3438.87</v>
      </c>
      <c r="V12" s="161"/>
      <c r="W12" s="161"/>
      <c r="X12" s="161"/>
      <c r="Y12" s="162">
        <v>15700</v>
      </c>
      <c r="Z12" s="162">
        <v>19138.87</v>
      </c>
      <c r="AA12" s="17"/>
      <c r="AB12" s="180">
        <f t="shared" si="0"/>
        <v>0</v>
      </c>
      <c r="AC12" s="224">
        <f t="shared" si="1"/>
        <v>19138.87</v>
      </c>
      <c r="AD12" s="8" t="e">
        <f t="shared" ref="AD12" si="3">+AC12/AB12</f>
        <v>#DIV/0!</v>
      </c>
    </row>
    <row r="13" spans="1:30" x14ac:dyDescent="0.4">
      <c r="A13" s="74" t="s">
        <v>52</v>
      </c>
      <c r="B13" s="201" t="s">
        <v>53</v>
      </c>
      <c r="C13" s="163">
        <v>14.55</v>
      </c>
      <c r="D13" s="163">
        <v>1.2124999999999999</v>
      </c>
      <c r="E13" s="202" t="s">
        <v>19</v>
      </c>
      <c r="F13" s="163">
        <v>0.77</v>
      </c>
      <c r="G13" s="163">
        <v>0.74</v>
      </c>
      <c r="H13" s="163">
        <v>0.77</v>
      </c>
      <c r="I13" s="163">
        <v>0.77</v>
      </c>
      <c r="J13" s="163">
        <v>0.71</v>
      </c>
      <c r="K13" s="163">
        <v>0.76</v>
      </c>
      <c r="L13" s="163">
        <v>2.19</v>
      </c>
      <c r="M13" s="163">
        <v>5.58</v>
      </c>
      <c r="N13" s="163">
        <v>5.4</v>
      </c>
      <c r="O13" s="163">
        <v>5.58</v>
      </c>
      <c r="P13" s="163">
        <v>4.4000000000000004</v>
      </c>
      <c r="Q13" s="163">
        <v>4.17</v>
      </c>
      <c r="R13" s="163">
        <v>31.84</v>
      </c>
      <c r="S13" s="17"/>
      <c r="T13" s="163">
        <v>2.0299999999999998</v>
      </c>
      <c r="U13" s="163">
        <v>3.59</v>
      </c>
      <c r="V13" s="163">
        <v>4.67</v>
      </c>
      <c r="W13" s="163">
        <v>111422.44</v>
      </c>
      <c r="X13" s="163">
        <v>3.16</v>
      </c>
      <c r="Y13" s="163">
        <v>3.5</v>
      </c>
      <c r="Z13" s="163">
        <v>111439.39</v>
      </c>
      <c r="AA13" s="17"/>
      <c r="AB13" s="214">
        <f t="shared" si="0"/>
        <v>4.5200000000000005</v>
      </c>
      <c r="AC13" s="11">
        <f t="shared" si="1"/>
        <v>111434.87</v>
      </c>
      <c r="AD13" s="12">
        <f t="shared" si="2"/>
        <v>24653.732300884953</v>
      </c>
    </row>
    <row r="14" spans="1:30" x14ac:dyDescent="0.4">
      <c r="A14" s="74"/>
      <c r="B14" s="201" t="s">
        <v>54</v>
      </c>
      <c r="C14" s="163">
        <v>1225152.0900000001</v>
      </c>
      <c r="D14" s="163">
        <v>102096.00750000001</v>
      </c>
      <c r="E14" s="202" t="s">
        <v>19</v>
      </c>
      <c r="F14" s="163">
        <v>228675.7</v>
      </c>
      <c r="G14" s="163">
        <v>60904.24</v>
      </c>
      <c r="H14" s="163">
        <v>142111.1</v>
      </c>
      <c r="I14" s="163">
        <v>88462.87</v>
      </c>
      <c r="J14" s="163">
        <v>184745.73</v>
      </c>
      <c r="K14" s="163">
        <v>55603.72</v>
      </c>
      <c r="L14" s="163">
        <v>82679.58</v>
      </c>
      <c r="M14" s="163">
        <v>218215.14</v>
      </c>
      <c r="N14" s="163">
        <v>64869.61</v>
      </c>
      <c r="O14" s="163">
        <v>38007.58</v>
      </c>
      <c r="P14" s="163">
        <v>182922.01</v>
      </c>
      <c r="Q14" s="163">
        <v>43792.23</v>
      </c>
      <c r="R14" s="163">
        <v>1390989.51</v>
      </c>
      <c r="S14" s="17"/>
      <c r="T14" s="163">
        <v>212445.38</v>
      </c>
      <c r="U14" s="163">
        <v>108441.8</v>
      </c>
      <c r="V14" s="163">
        <v>129471.71</v>
      </c>
      <c r="W14" s="163">
        <v>192221.1</v>
      </c>
      <c r="X14" s="163">
        <v>158666.26</v>
      </c>
      <c r="Y14" s="163">
        <v>232433.44</v>
      </c>
      <c r="Z14" s="163">
        <v>1033679.69</v>
      </c>
      <c r="AA14" s="76"/>
      <c r="AB14" s="163">
        <f>SUM(AB8:AB13)</f>
        <v>760503.36</v>
      </c>
      <c r="AC14" s="163">
        <f>SUM(AC8:AC13)</f>
        <v>273176.32999999996</v>
      </c>
      <c r="AD14" s="12">
        <f t="shared" ref="AD14:AD56" si="4">+AC14/AB14</f>
        <v>0.35920463257387841</v>
      </c>
    </row>
    <row r="15" spans="1:30" x14ac:dyDescent="0.4">
      <c r="A15" s="74"/>
      <c r="B15" s="201"/>
      <c r="C15" s="161"/>
      <c r="D15" s="161"/>
      <c r="E15" s="202" t="s">
        <v>19</v>
      </c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  <c r="S15" s="78"/>
      <c r="T15" s="161"/>
      <c r="U15" s="161"/>
      <c r="V15" s="161"/>
      <c r="W15" s="161"/>
      <c r="X15" s="161"/>
      <c r="Y15" s="161"/>
      <c r="Z15" s="161"/>
      <c r="AA15" s="76"/>
      <c r="AB15" s="161"/>
      <c r="AC15" s="4"/>
      <c r="AD15" s="5"/>
    </row>
    <row r="16" spans="1:30" x14ac:dyDescent="0.4">
      <c r="A16" s="74"/>
      <c r="B16" s="201" t="s">
        <v>55</v>
      </c>
      <c r="C16" s="161"/>
      <c r="D16" s="161"/>
      <c r="E16" s="202" t="s">
        <v>19</v>
      </c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78"/>
      <c r="T16" s="161"/>
      <c r="U16" s="161"/>
      <c r="V16" s="161"/>
      <c r="W16" s="161"/>
      <c r="X16" s="161"/>
      <c r="Y16" s="161"/>
      <c r="Z16" s="161"/>
      <c r="AA16" s="79"/>
      <c r="AB16" s="161"/>
      <c r="AC16" s="4"/>
      <c r="AD16" s="5"/>
    </row>
    <row r="17" spans="1:30" x14ac:dyDescent="0.4">
      <c r="A17" s="74"/>
      <c r="B17" s="201" t="s">
        <v>56</v>
      </c>
      <c r="C17" s="162">
        <v>681384.13</v>
      </c>
      <c r="D17" s="162">
        <v>56782.010833333334</v>
      </c>
      <c r="E17" s="202" t="s">
        <v>19</v>
      </c>
      <c r="F17" s="162">
        <v>55783.85</v>
      </c>
      <c r="G17" s="162">
        <v>53522.29</v>
      </c>
      <c r="H17" s="162">
        <v>56593.16</v>
      </c>
      <c r="I17" s="162">
        <v>55665.36</v>
      </c>
      <c r="J17" s="162">
        <v>59754.05</v>
      </c>
      <c r="K17" s="162">
        <v>61534.68</v>
      </c>
      <c r="L17" s="162">
        <v>54596.41</v>
      </c>
      <c r="M17" s="162">
        <v>60014.23</v>
      </c>
      <c r="N17" s="162">
        <v>54844.99</v>
      </c>
      <c r="O17" s="162">
        <v>64235.54</v>
      </c>
      <c r="P17" s="162">
        <v>58247.71</v>
      </c>
      <c r="Q17" s="162">
        <v>52602.2</v>
      </c>
      <c r="R17" s="162">
        <v>687394.47</v>
      </c>
      <c r="S17" s="17"/>
      <c r="T17" s="162">
        <v>49057.120000000003</v>
      </c>
      <c r="U17" s="162">
        <v>55602.52</v>
      </c>
      <c r="V17" s="162">
        <v>58327.8</v>
      </c>
      <c r="W17" s="162">
        <v>53750.37</v>
      </c>
      <c r="X17" s="162">
        <v>54076.11</v>
      </c>
      <c r="Y17" s="162">
        <v>52049.26</v>
      </c>
      <c r="Z17" s="162">
        <v>322863.18</v>
      </c>
      <c r="AA17" s="79"/>
      <c r="AB17" s="180">
        <f t="shared" ref="AB17:AB22" si="5">SUM(F17:K17)</f>
        <v>342853.38999999996</v>
      </c>
      <c r="AC17" s="224">
        <f>+Z17-AB17</f>
        <v>-19990.209999999963</v>
      </c>
      <c r="AD17" s="8">
        <f t="shared" si="4"/>
        <v>-5.8305417368047507E-2</v>
      </c>
    </row>
    <row r="18" spans="1:30" x14ac:dyDescent="0.4">
      <c r="A18" s="74"/>
      <c r="B18" s="201" t="s">
        <v>57</v>
      </c>
      <c r="C18" s="162">
        <v>35663.660000000003</v>
      </c>
      <c r="D18" s="162">
        <v>2971.9716666666668</v>
      </c>
      <c r="E18" s="202" t="s">
        <v>19</v>
      </c>
      <c r="F18" s="162"/>
      <c r="G18" s="162">
        <v>259.32</v>
      </c>
      <c r="H18" s="162">
        <v>81.319999999999993</v>
      </c>
      <c r="I18" s="162">
        <v>81.319999999999993</v>
      </c>
      <c r="J18" s="162"/>
      <c r="K18" s="162"/>
      <c r="L18" s="162"/>
      <c r="M18" s="162">
        <v>210</v>
      </c>
      <c r="N18" s="162"/>
      <c r="O18" s="162"/>
      <c r="P18" s="162"/>
      <c r="Q18" s="162">
        <v>360</v>
      </c>
      <c r="R18" s="162">
        <v>991.96</v>
      </c>
      <c r="S18" s="17"/>
      <c r="T18" s="162"/>
      <c r="U18" s="162"/>
      <c r="V18" s="162"/>
      <c r="W18" s="162">
        <v>375</v>
      </c>
      <c r="X18" s="162"/>
      <c r="Y18" s="162"/>
      <c r="Z18" s="162">
        <v>375</v>
      </c>
      <c r="AA18" s="79"/>
      <c r="AB18" s="180">
        <f t="shared" si="5"/>
        <v>421.96</v>
      </c>
      <c r="AC18" s="224">
        <f t="shared" ref="AC18:AC22" si="6">+Z18-AB18</f>
        <v>-46.95999999999998</v>
      </c>
      <c r="AD18" s="8">
        <f t="shared" ref="AD18:AD22" si="7">+AC18/AB18</f>
        <v>-0.11129016968433023</v>
      </c>
    </row>
    <row r="19" spans="1:30" x14ac:dyDescent="0.4">
      <c r="A19" s="74"/>
      <c r="B19" s="201" t="s">
        <v>58</v>
      </c>
      <c r="C19" s="162">
        <v>421255.38</v>
      </c>
      <c r="D19" s="162">
        <v>35104.614999999998</v>
      </c>
      <c r="E19" s="202" t="s">
        <v>19</v>
      </c>
      <c r="F19" s="162">
        <v>42762.34</v>
      </c>
      <c r="G19" s="162">
        <v>44186.82</v>
      </c>
      <c r="H19" s="162">
        <v>37081.32</v>
      </c>
      <c r="I19" s="162">
        <v>36415.599999999999</v>
      </c>
      <c r="J19" s="162">
        <v>50527.3</v>
      </c>
      <c r="K19" s="162">
        <v>42349.53</v>
      </c>
      <c r="L19" s="162">
        <v>28916.959999999999</v>
      </c>
      <c r="M19" s="162">
        <v>45029.75</v>
      </c>
      <c r="N19" s="162">
        <v>38295.519999999997</v>
      </c>
      <c r="O19" s="162">
        <v>40288.75</v>
      </c>
      <c r="P19" s="162">
        <v>44701.93</v>
      </c>
      <c r="Q19" s="162">
        <v>23372.98</v>
      </c>
      <c r="R19" s="162">
        <v>473928.8</v>
      </c>
      <c r="S19" s="17"/>
      <c r="T19" s="162">
        <v>53101.33</v>
      </c>
      <c r="U19" s="162">
        <v>49854.83</v>
      </c>
      <c r="V19" s="162">
        <v>39870.720000000001</v>
      </c>
      <c r="W19" s="162">
        <v>31196.65</v>
      </c>
      <c r="X19" s="162">
        <v>50395.58</v>
      </c>
      <c r="Y19" s="162">
        <v>43466.7</v>
      </c>
      <c r="Z19" s="162">
        <v>267885.81</v>
      </c>
      <c r="AA19" s="79"/>
      <c r="AB19" s="180">
        <f t="shared" si="5"/>
        <v>253322.91</v>
      </c>
      <c r="AC19" s="224">
        <f t="shared" si="6"/>
        <v>14562.899999999994</v>
      </c>
      <c r="AD19" s="8">
        <f t="shared" si="7"/>
        <v>5.7487496886878466E-2</v>
      </c>
    </row>
    <row r="20" spans="1:30" x14ac:dyDescent="0.4">
      <c r="A20" s="74"/>
      <c r="B20" s="201" t="s">
        <v>59</v>
      </c>
      <c r="C20" s="162">
        <v>109931.49</v>
      </c>
      <c r="D20" s="162">
        <v>9160.9575000000004</v>
      </c>
      <c r="E20" s="202" t="s">
        <v>19</v>
      </c>
      <c r="F20" s="162">
        <v>9599.56</v>
      </c>
      <c r="G20" s="162">
        <v>11922.66</v>
      </c>
      <c r="H20" s="162">
        <v>10928.88</v>
      </c>
      <c r="I20" s="162">
        <v>12295.51</v>
      </c>
      <c r="J20" s="162">
        <v>6507.8</v>
      </c>
      <c r="K20" s="162">
        <v>5761.08</v>
      </c>
      <c r="L20" s="162">
        <v>7052.93</v>
      </c>
      <c r="M20" s="162">
        <v>9141.7800000000007</v>
      </c>
      <c r="N20" s="162">
        <v>9789.65</v>
      </c>
      <c r="O20" s="162">
        <v>11095.08</v>
      </c>
      <c r="P20" s="162">
        <v>11095.08</v>
      </c>
      <c r="Q20" s="162">
        <v>11095.08</v>
      </c>
      <c r="R20" s="162">
        <v>116285.09</v>
      </c>
      <c r="S20" s="17"/>
      <c r="T20" s="162">
        <v>-225.72</v>
      </c>
      <c r="U20" s="162">
        <v>4200.1899999999996</v>
      </c>
      <c r="V20" s="162">
        <v>7320.04</v>
      </c>
      <c r="W20" s="162">
        <v>5761.08</v>
      </c>
      <c r="X20" s="162">
        <v>19356.97</v>
      </c>
      <c r="Y20" s="162">
        <v>5390.58</v>
      </c>
      <c r="Z20" s="162">
        <v>41803.14</v>
      </c>
      <c r="AA20" s="79"/>
      <c r="AB20" s="180">
        <f t="shared" si="5"/>
        <v>57015.490000000005</v>
      </c>
      <c r="AC20" s="224">
        <f t="shared" si="6"/>
        <v>-15212.350000000006</v>
      </c>
      <c r="AD20" s="8">
        <f t="shared" si="7"/>
        <v>-0.26681082632105774</v>
      </c>
    </row>
    <row r="21" spans="1:30" x14ac:dyDescent="0.4">
      <c r="A21" s="74"/>
      <c r="B21" s="201" t="s">
        <v>60</v>
      </c>
      <c r="C21" s="162">
        <v>29743.87</v>
      </c>
      <c r="D21" s="162">
        <v>2478.6558333333332</v>
      </c>
      <c r="E21" s="202" t="s">
        <v>19</v>
      </c>
      <c r="F21" s="162"/>
      <c r="G21" s="162"/>
      <c r="H21" s="162"/>
      <c r="I21" s="162"/>
      <c r="J21" s="162">
        <v>746.84</v>
      </c>
      <c r="K21" s="162">
        <v>367.17</v>
      </c>
      <c r="L21" s="162">
        <v>500</v>
      </c>
      <c r="M21" s="162"/>
      <c r="N21" s="162">
        <v>2050</v>
      </c>
      <c r="O21" s="162">
        <v>159.88999999999999</v>
      </c>
      <c r="P21" s="162">
        <v>645.05999999999995</v>
      </c>
      <c r="Q21" s="162">
        <v>13492</v>
      </c>
      <c r="R21" s="162">
        <v>17960.96</v>
      </c>
      <c r="S21" s="17"/>
      <c r="T21" s="162">
        <v>9180.36</v>
      </c>
      <c r="U21" s="162">
        <v>15834.36</v>
      </c>
      <c r="V21" s="162">
        <v>2081.1</v>
      </c>
      <c r="W21" s="162"/>
      <c r="X21" s="162">
        <v>2715.46</v>
      </c>
      <c r="Y21" s="162">
        <v>36859.97</v>
      </c>
      <c r="Z21" s="162">
        <v>66671.25</v>
      </c>
      <c r="AA21" s="17"/>
      <c r="AB21" s="180">
        <f t="shared" si="5"/>
        <v>1114.01</v>
      </c>
      <c r="AC21" s="224">
        <f t="shared" si="6"/>
        <v>65557.240000000005</v>
      </c>
      <c r="AD21" s="8">
        <f t="shared" si="7"/>
        <v>58.847981615963953</v>
      </c>
    </row>
    <row r="22" spans="1:30" x14ac:dyDescent="0.4">
      <c r="A22" s="74"/>
      <c r="B22" s="201" t="s">
        <v>61</v>
      </c>
      <c r="C22" s="163">
        <v>4733.55</v>
      </c>
      <c r="D22" s="163">
        <v>394.46249999999998</v>
      </c>
      <c r="E22" s="202" t="s">
        <v>19</v>
      </c>
      <c r="F22" s="163">
        <v>279.41000000000003</v>
      </c>
      <c r="G22" s="163">
        <v>347.29</v>
      </c>
      <c r="H22" s="163">
        <v>813.03</v>
      </c>
      <c r="I22" s="163">
        <v>1242.98</v>
      </c>
      <c r="J22" s="163">
        <v>910.08</v>
      </c>
      <c r="K22" s="163">
        <v>554.59</v>
      </c>
      <c r="L22" s="163"/>
      <c r="M22" s="163">
        <v>212.56</v>
      </c>
      <c r="N22" s="163">
        <v>62.68</v>
      </c>
      <c r="O22" s="163">
        <v>143.47999999999999</v>
      </c>
      <c r="P22" s="163">
        <v>340.88</v>
      </c>
      <c r="Q22" s="163">
        <v>130.47</v>
      </c>
      <c r="R22" s="163">
        <v>5037.45</v>
      </c>
      <c r="S22" s="17"/>
      <c r="T22" s="163">
        <v>109.63</v>
      </c>
      <c r="U22" s="163">
        <v>263.8</v>
      </c>
      <c r="V22" s="163">
        <v>218.36</v>
      </c>
      <c r="W22" s="163">
        <v>107.84</v>
      </c>
      <c r="X22" s="163">
        <v>334.88</v>
      </c>
      <c r="Y22" s="163">
        <v>639.91</v>
      </c>
      <c r="Z22" s="163">
        <v>1674.42</v>
      </c>
      <c r="AA22" s="17"/>
      <c r="AB22" s="214">
        <f t="shared" si="5"/>
        <v>4147.38</v>
      </c>
      <c r="AC22" s="11">
        <f t="shared" si="6"/>
        <v>-2472.96</v>
      </c>
      <c r="AD22" s="12">
        <f t="shared" si="7"/>
        <v>-0.59627041650391333</v>
      </c>
    </row>
    <row r="23" spans="1:30" x14ac:dyDescent="0.4">
      <c r="A23" s="74"/>
      <c r="B23" s="201" t="s">
        <v>62</v>
      </c>
      <c r="C23" s="163">
        <v>1282712.08</v>
      </c>
      <c r="D23" s="163">
        <v>106892.67333333334</v>
      </c>
      <c r="E23" s="202" t="s">
        <v>19</v>
      </c>
      <c r="F23" s="163">
        <v>108425.16</v>
      </c>
      <c r="G23" s="163">
        <v>110238.38</v>
      </c>
      <c r="H23" s="163">
        <v>105497.71</v>
      </c>
      <c r="I23" s="163">
        <v>105700.77</v>
      </c>
      <c r="J23" s="163">
        <v>118446.07</v>
      </c>
      <c r="K23" s="163">
        <v>110567.05</v>
      </c>
      <c r="L23" s="163">
        <v>91066.3</v>
      </c>
      <c r="M23" s="163">
        <v>114608.32000000001</v>
      </c>
      <c r="N23" s="163">
        <v>105042.84</v>
      </c>
      <c r="O23" s="163">
        <v>115922.74</v>
      </c>
      <c r="P23" s="163">
        <v>115030.66</v>
      </c>
      <c r="Q23" s="163">
        <v>101052.73</v>
      </c>
      <c r="R23" s="163">
        <v>1301598.73</v>
      </c>
      <c r="S23" s="78"/>
      <c r="T23" s="163">
        <v>111222.72</v>
      </c>
      <c r="U23" s="163">
        <v>125755.7</v>
      </c>
      <c r="V23" s="163">
        <v>107818.02</v>
      </c>
      <c r="W23" s="163">
        <v>91190.94</v>
      </c>
      <c r="X23" s="163">
        <v>126879</v>
      </c>
      <c r="Y23" s="163">
        <v>138406.42000000001</v>
      </c>
      <c r="Z23" s="163">
        <v>701272.8</v>
      </c>
      <c r="AA23" s="76"/>
      <c r="AB23" s="163">
        <f>SUM(AB17:AB22)</f>
        <v>658875.14</v>
      </c>
      <c r="AC23" s="163">
        <f>SUM(AC17:AC22)</f>
        <v>42397.660000000033</v>
      </c>
      <c r="AD23" s="12">
        <f t="shared" si="4"/>
        <v>6.4348550166879917E-2</v>
      </c>
    </row>
    <row r="24" spans="1:30" s="37" customFormat="1" x14ac:dyDescent="0.4">
      <c r="A24" s="80"/>
      <c r="B24" s="201"/>
      <c r="C24" s="161"/>
      <c r="D24" s="161"/>
      <c r="E24" s="202" t="s">
        <v>19</v>
      </c>
      <c r="F24" s="161"/>
      <c r="G24" s="161"/>
      <c r="H24" s="161"/>
      <c r="I24" s="161"/>
      <c r="J24" s="161"/>
      <c r="K24" s="161"/>
      <c r="L24" s="161"/>
      <c r="M24" s="161"/>
      <c r="N24" s="161"/>
      <c r="O24" s="161"/>
      <c r="P24" s="161"/>
      <c r="Q24" s="161"/>
      <c r="R24" s="161"/>
      <c r="S24" s="78"/>
      <c r="T24" s="161"/>
      <c r="U24" s="161"/>
      <c r="V24" s="161"/>
      <c r="W24" s="161"/>
      <c r="X24" s="161"/>
      <c r="Y24" s="161"/>
      <c r="Z24" s="161"/>
      <c r="AA24" s="79"/>
      <c r="AB24" s="161"/>
      <c r="AC24" s="4"/>
      <c r="AD24" s="5"/>
    </row>
    <row r="25" spans="1:30" x14ac:dyDescent="0.4">
      <c r="A25" s="74" t="s">
        <v>66</v>
      </c>
      <c r="B25" s="201" t="s">
        <v>63</v>
      </c>
      <c r="C25" s="161"/>
      <c r="D25" s="161"/>
      <c r="E25" s="202" t="s">
        <v>19</v>
      </c>
      <c r="F25" s="161"/>
      <c r="G25" s="161"/>
      <c r="H25" s="161"/>
      <c r="I25" s="161"/>
      <c r="J25" s="161"/>
      <c r="K25" s="161"/>
      <c r="L25" s="161"/>
      <c r="M25" s="161"/>
      <c r="N25" s="161"/>
      <c r="O25" s="161"/>
      <c r="P25" s="161"/>
      <c r="Q25" s="161"/>
      <c r="R25" s="161"/>
      <c r="S25" s="17"/>
      <c r="T25" s="161"/>
      <c r="U25" s="161"/>
      <c r="V25" s="161"/>
      <c r="W25" s="161"/>
      <c r="X25" s="161"/>
      <c r="Y25" s="161"/>
      <c r="Z25" s="161"/>
      <c r="AA25" s="17"/>
      <c r="AB25" s="161"/>
      <c r="AC25" s="4"/>
      <c r="AD25" s="5"/>
    </row>
    <row r="26" spans="1:30" x14ac:dyDescent="0.4">
      <c r="A26" s="74" t="s">
        <v>68</v>
      </c>
      <c r="B26" s="201" t="s">
        <v>67</v>
      </c>
      <c r="C26" s="162">
        <v>183684</v>
      </c>
      <c r="D26" s="162">
        <v>15307</v>
      </c>
      <c r="E26" s="202" t="s">
        <v>19</v>
      </c>
      <c r="F26" s="162">
        <v>15307</v>
      </c>
      <c r="G26" s="162">
        <v>15307</v>
      </c>
      <c r="H26" s="162">
        <v>15307</v>
      </c>
      <c r="I26" s="162">
        <v>15307</v>
      </c>
      <c r="J26" s="162">
        <v>15307</v>
      </c>
      <c r="K26" s="162">
        <v>15307</v>
      </c>
      <c r="L26" s="162">
        <v>15307</v>
      </c>
      <c r="M26" s="162">
        <v>15307</v>
      </c>
      <c r="N26" s="162">
        <v>15307</v>
      </c>
      <c r="O26" s="162">
        <v>15307</v>
      </c>
      <c r="P26" s="162">
        <v>15307</v>
      </c>
      <c r="Q26" s="162">
        <v>15307</v>
      </c>
      <c r="R26" s="162">
        <v>183684</v>
      </c>
      <c r="S26" s="17"/>
      <c r="T26" s="162">
        <v>15307</v>
      </c>
      <c r="U26" s="162">
        <v>15307</v>
      </c>
      <c r="V26" s="162">
        <v>15307</v>
      </c>
      <c r="W26" s="162">
        <v>15307</v>
      </c>
      <c r="X26" s="162">
        <v>15307</v>
      </c>
      <c r="Y26" s="162">
        <v>15307</v>
      </c>
      <c r="Z26" s="180">
        <f>SUM(T26:Y26)</f>
        <v>91842</v>
      </c>
      <c r="AA26" s="17"/>
      <c r="AB26" s="180">
        <f>SUM(F26:K26)</f>
        <v>91842</v>
      </c>
      <c r="AC26" s="224">
        <f>+Z26-AB26</f>
        <v>0</v>
      </c>
      <c r="AD26" s="8">
        <f t="shared" si="4"/>
        <v>0</v>
      </c>
    </row>
    <row r="27" spans="1:30" x14ac:dyDescent="0.4">
      <c r="A27" s="74"/>
      <c r="B27" s="201" t="s">
        <v>69</v>
      </c>
      <c r="C27" s="163">
        <v>24492</v>
      </c>
      <c r="D27" s="163">
        <v>2041</v>
      </c>
      <c r="E27" s="202" t="s">
        <v>19</v>
      </c>
      <c r="F27" s="163">
        <v>2041</v>
      </c>
      <c r="G27" s="163">
        <v>2041</v>
      </c>
      <c r="H27" s="163">
        <v>2041</v>
      </c>
      <c r="I27" s="163">
        <v>2041</v>
      </c>
      <c r="J27" s="163">
        <v>2041</v>
      </c>
      <c r="K27" s="163">
        <v>2041</v>
      </c>
      <c r="L27" s="163">
        <v>2041</v>
      </c>
      <c r="M27" s="163">
        <v>2041</v>
      </c>
      <c r="N27" s="163">
        <v>2041</v>
      </c>
      <c r="O27" s="163">
        <v>2041</v>
      </c>
      <c r="P27" s="163">
        <v>2041</v>
      </c>
      <c r="Q27" s="163">
        <v>2041</v>
      </c>
      <c r="R27" s="163">
        <v>24492</v>
      </c>
      <c r="S27" s="17"/>
      <c r="T27" s="163">
        <v>2041</v>
      </c>
      <c r="U27" s="163">
        <v>2041</v>
      </c>
      <c r="V27" s="163">
        <v>2041</v>
      </c>
      <c r="W27" s="163">
        <v>2041</v>
      </c>
      <c r="X27" s="163">
        <v>2041</v>
      </c>
      <c r="Y27" s="163">
        <v>2041</v>
      </c>
      <c r="Z27" s="214">
        <f>SUM(T27:Y27)</f>
        <v>12246</v>
      </c>
      <c r="AA27" s="76"/>
      <c r="AB27" s="214">
        <f>SUM(F27:K27)</f>
        <v>12246</v>
      </c>
      <c r="AC27" s="11">
        <f>+Z27-AB27</f>
        <v>0</v>
      </c>
      <c r="AD27" s="12">
        <f t="shared" ref="AD27" si="8">+AC27/AB27</f>
        <v>0</v>
      </c>
    </row>
    <row r="28" spans="1:30" x14ac:dyDescent="0.4">
      <c r="A28" s="74"/>
      <c r="B28" s="201" t="s">
        <v>70</v>
      </c>
      <c r="C28" s="163">
        <v>208176</v>
      </c>
      <c r="D28" s="163">
        <v>17348</v>
      </c>
      <c r="E28" s="202" t="s">
        <v>19</v>
      </c>
      <c r="F28" s="163">
        <v>17348</v>
      </c>
      <c r="G28" s="163">
        <v>17348</v>
      </c>
      <c r="H28" s="163">
        <v>17348</v>
      </c>
      <c r="I28" s="163">
        <v>17348</v>
      </c>
      <c r="J28" s="163">
        <v>17348</v>
      </c>
      <c r="K28" s="163">
        <v>17348</v>
      </c>
      <c r="L28" s="163">
        <v>17348</v>
      </c>
      <c r="M28" s="163">
        <v>17348</v>
      </c>
      <c r="N28" s="163">
        <v>17348</v>
      </c>
      <c r="O28" s="163">
        <v>17348</v>
      </c>
      <c r="P28" s="163">
        <v>17348</v>
      </c>
      <c r="Q28" s="163">
        <v>17348</v>
      </c>
      <c r="R28" s="163">
        <v>208176</v>
      </c>
      <c r="S28" s="78"/>
      <c r="T28" s="163">
        <v>17348</v>
      </c>
      <c r="U28" s="163">
        <v>17348</v>
      </c>
      <c r="V28" s="163">
        <v>17348</v>
      </c>
      <c r="W28" s="163">
        <f>SUM(W26:W27)</f>
        <v>17348</v>
      </c>
      <c r="X28" s="163">
        <f t="shared" ref="X28:Z28" si="9">SUM(X26:X27)</f>
        <v>17348</v>
      </c>
      <c r="Y28" s="163">
        <f t="shared" si="9"/>
        <v>17348</v>
      </c>
      <c r="Z28" s="163">
        <f t="shared" si="9"/>
        <v>104088</v>
      </c>
      <c r="AA28" s="17"/>
      <c r="AB28" s="163">
        <f>SUM(AB26:AB27)</f>
        <v>104088</v>
      </c>
      <c r="AC28" s="163">
        <f>SUM(AC26:AC27)</f>
        <v>0</v>
      </c>
      <c r="AD28" s="12">
        <f t="shared" si="4"/>
        <v>0</v>
      </c>
    </row>
    <row r="29" spans="1:30" x14ac:dyDescent="0.4">
      <c r="A29" s="74"/>
      <c r="B29" s="201"/>
      <c r="C29" s="161"/>
      <c r="D29" s="161"/>
      <c r="E29" s="202" t="s">
        <v>19</v>
      </c>
      <c r="F29" s="161"/>
      <c r="G29" s="161"/>
      <c r="H29" s="161"/>
      <c r="I29" s="161"/>
      <c r="J29" s="161"/>
      <c r="K29" s="161"/>
      <c r="L29" s="161"/>
      <c r="M29" s="161"/>
      <c r="N29" s="161"/>
      <c r="O29" s="161"/>
      <c r="P29" s="161"/>
      <c r="Q29" s="161"/>
      <c r="R29" s="161"/>
      <c r="S29" s="17"/>
      <c r="T29" s="161"/>
      <c r="U29" s="161"/>
      <c r="V29" s="161"/>
      <c r="W29" s="161"/>
      <c r="X29" s="161"/>
      <c r="Y29" s="161"/>
      <c r="Z29" s="161"/>
      <c r="AA29" s="17"/>
      <c r="AB29" s="161"/>
      <c r="AC29" s="4"/>
      <c r="AD29" s="5"/>
    </row>
    <row r="30" spans="1:30" x14ac:dyDescent="0.4">
      <c r="A30" s="74"/>
      <c r="B30" s="201" t="s">
        <v>71</v>
      </c>
      <c r="C30" s="163">
        <v>1490888.08</v>
      </c>
      <c r="D30" s="163">
        <v>124240.67333333334</v>
      </c>
      <c r="E30" s="202" t="s">
        <v>19</v>
      </c>
      <c r="F30" s="163">
        <v>125773.16</v>
      </c>
      <c r="G30" s="163">
        <v>127586.38</v>
      </c>
      <c r="H30" s="163">
        <v>122845.71</v>
      </c>
      <c r="I30" s="163">
        <v>123048.77</v>
      </c>
      <c r="J30" s="163">
        <v>135794.07</v>
      </c>
      <c r="K30" s="163">
        <v>127915.05</v>
      </c>
      <c r="L30" s="163">
        <v>108414.3</v>
      </c>
      <c r="M30" s="163">
        <v>131956.32</v>
      </c>
      <c r="N30" s="163">
        <v>122390.84</v>
      </c>
      <c r="O30" s="163">
        <v>133270.74</v>
      </c>
      <c r="P30" s="163">
        <v>132378.66</v>
      </c>
      <c r="Q30" s="163">
        <v>118400.73</v>
      </c>
      <c r="R30" s="163">
        <v>1509774.73</v>
      </c>
      <c r="S30" s="17"/>
      <c r="T30" s="163">
        <v>128570.72</v>
      </c>
      <c r="U30" s="163">
        <v>143103.70000000001</v>
      </c>
      <c r="V30" s="163">
        <v>125166.02</v>
      </c>
      <c r="W30" s="163">
        <v>108538.94</v>
      </c>
      <c r="X30" s="163">
        <f>+X23+X28</f>
        <v>144227</v>
      </c>
      <c r="Y30" s="163">
        <f t="shared" ref="Y30:Z30" si="10">+Y23+Y28</f>
        <v>155754.42000000001</v>
      </c>
      <c r="Z30" s="163">
        <f t="shared" si="10"/>
        <v>805360.8</v>
      </c>
      <c r="AA30" s="17"/>
      <c r="AB30" s="163">
        <f>SUM(F30:K30)</f>
        <v>762963.14000000013</v>
      </c>
      <c r="AC30" s="11">
        <f>+Z30-AB30</f>
        <v>42397.659999999916</v>
      </c>
      <c r="AD30" s="12">
        <f t="shared" si="4"/>
        <v>5.5569735649352484E-2</v>
      </c>
    </row>
    <row r="31" spans="1:30" x14ac:dyDescent="0.4">
      <c r="A31" s="74"/>
      <c r="B31" s="201"/>
      <c r="C31" s="161"/>
      <c r="D31" s="161"/>
      <c r="E31" s="202" t="s">
        <v>19</v>
      </c>
      <c r="F31" s="161"/>
      <c r="G31" s="161"/>
      <c r="H31" s="161"/>
      <c r="I31" s="161"/>
      <c r="J31" s="161"/>
      <c r="K31" s="161"/>
      <c r="L31" s="161"/>
      <c r="M31" s="161"/>
      <c r="N31" s="161"/>
      <c r="O31" s="161"/>
      <c r="P31" s="161"/>
      <c r="Q31" s="161"/>
      <c r="R31" s="161"/>
      <c r="S31" s="78"/>
      <c r="T31" s="164"/>
      <c r="U31" s="164"/>
      <c r="V31" s="164"/>
      <c r="W31" s="164"/>
      <c r="X31" s="164"/>
      <c r="Y31" s="164"/>
      <c r="Z31" s="164"/>
      <c r="AA31" s="17"/>
      <c r="AB31" s="161"/>
      <c r="AC31" s="4"/>
      <c r="AD31" s="5"/>
    </row>
    <row r="32" spans="1:30" ht="15" thickBot="1" x14ac:dyDescent="0.45">
      <c r="A32" s="74"/>
      <c r="B32" s="201" t="s">
        <v>72</v>
      </c>
      <c r="C32" s="182">
        <v>-265735.99</v>
      </c>
      <c r="D32" s="182">
        <v>-22144.665833333333</v>
      </c>
      <c r="E32" s="202" t="s">
        <v>19</v>
      </c>
      <c r="F32" s="182">
        <v>102902.54</v>
      </c>
      <c r="G32" s="182">
        <v>-66682.14</v>
      </c>
      <c r="H32" s="182">
        <v>19265.39</v>
      </c>
      <c r="I32" s="182">
        <v>-34585.9</v>
      </c>
      <c r="J32" s="182">
        <v>48951.66</v>
      </c>
      <c r="K32" s="182">
        <v>-72311.33</v>
      </c>
      <c r="L32" s="182">
        <v>-25734.720000000001</v>
      </c>
      <c r="M32" s="182">
        <v>86258.82</v>
      </c>
      <c r="N32" s="182">
        <v>-57521.23</v>
      </c>
      <c r="O32" s="182">
        <v>-95263.16</v>
      </c>
      <c r="P32" s="182">
        <v>50543.35</v>
      </c>
      <c r="Q32" s="182">
        <v>-74608.5</v>
      </c>
      <c r="R32" s="182">
        <v>-118785.22</v>
      </c>
      <c r="S32" s="17"/>
      <c r="T32" s="165">
        <v>83874.66</v>
      </c>
      <c r="U32" s="165">
        <v>-34661.9</v>
      </c>
      <c r="V32" s="165">
        <v>4305.6899999999996</v>
      </c>
      <c r="W32" s="165">
        <v>83682.16</v>
      </c>
      <c r="X32" s="165">
        <f>+X14-X30</f>
        <v>14439.260000000009</v>
      </c>
      <c r="Y32" s="165">
        <f t="shared" ref="Y32:Z32" si="11">+Y14-Y30</f>
        <v>76679.01999999999</v>
      </c>
      <c r="Z32" s="165">
        <f t="shared" si="11"/>
        <v>228318.8899999999</v>
      </c>
      <c r="AA32" s="17"/>
      <c r="AB32" s="182">
        <f>SUM(F32:K32)</f>
        <v>-2459.7800000000134</v>
      </c>
      <c r="AC32" s="13">
        <f>+Z32-AB32</f>
        <v>230778.66999999993</v>
      </c>
      <c r="AD32" s="14">
        <f t="shared" si="4"/>
        <v>-93.820857962906715</v>
      </c>
    </row>
    <row r="33" spans="1:30" ht="15" thickTop="1" x14ac:dyDescent="0.4">
      <c r="A33" s="74"/>
      <c r="B33" s="201"/>
      <c r="C33" s="161"/>
      <c r="D33" s="161"/>
      <c r="E33" s="202" t="s">
        <v>19</v>
      </c>
      <c r="F33" s="161"/>
      <c r="G33" s="161"/>
      <c r="H33" s="161"/>
      <c r="I33" s="161"/>
      <c r="J33" s="161"/>
      <c r="K33" s="161"/>
      <c r="L33" s="161"/>
      <c r="M33" s="161"/>
      <c r="N33" s="161"/>
      <c r="O33" s="161"/>
      <c r="P33" s="161"/>
      <c r="Q33" s="161"/>
      <c r="R33" s="161"/>
      <c r="S33" s="17"/>
      <c r="T33" s="161"/>
      <c r="U33" s="161"/>
      <c r="V33" s="161"/>
      <c r="W33" s="161"/>
      <c r="X33" s="161"/>
      <c r="Y33" s="161"/>
      <c r="Z33" s="161"/>
      <c r="AA33" s="17"/>
      <c r="AB33" s="161"/>
      <c r="AC33" s="4"/>
      <c r="AD33" s="5"/>
    </row>
    <row r="34" spans="1:30" x14ac:dyDescent="0.4">
      <c r="A34" s="74" t="s">
        <v>75</v>
      </c>
      <c r="B34" s="201" t="s">
        <v>73</v>
      </c>
      <c r="C34" s="161"/>
      <c r="D34" s="161"/>
      <c r="E34" s="202" t="s">
        <v>19</v>
      </c>
      <c r="F34" s="161"/>
      <c r="G34" s="161"/>
      <c r="H34" s="161"/>
      <c r="I34" s="161"/>
      <c r="J34" s="161"/>
      <c r="K34" s="161"/>
      <c r="L34" s="161"/>
      <c r="M34" s="161"/>
      <c r="N34" s="161"/>
      <c r="O34" s="161"/>
      <c r="P34" s="161"/>
      <c r="Q34" s="161"/>
      <c r="R34" s="161"/>
      <c r="S34" s="17"/>
      <c r="T34" s="161"/>
      <c r="U34" s="161"/>
      <c r="V34" s="161"/>
      <c r="W34" s="161"/>
      <c r="X34" s="161"/>
      <c r="Y34" s="161"/>
      <c r="Z34" s="161"/>
      <c r="AA34" s="76"/>
      <c r="AB34" s="161"/>
      <c r="AC34" s="4"/>
      <c r="AD34" s="5"/>
    </row>
    <row r="35" spans="1:30" x14ac:dyDescent="0.4">
      <c r="A35" s="74" t="s">
        <v>77</v>
      </c>
      <c r="B35" s="201" t="s">
        <v>74</v>
      </c>
      <c r="C35" s="161"/>
      <c r="D35" s="161"/>
      <c r="E35" s="202" t="s">
        <v>19</v>
      </c>
      <c r="F35" s="161"/>
      <c r="G35" s="161"/>
      <c r="H35" s="161"/>
      <c r="I35" s="161"/>
      <c r="J35" s="161"/>
      <c r="K35" s="161"/>
      <c r="L35" s="161"/>
      <c r="M35" s="161"/>
      <c r="N35" s="161"/>
      <c r="O35" s="161"/>
      <c r="P35" s="161"/>
      <c r="Q35" s="161"/>
      <c r="R35" s="161"/>
      <c r="S35" s="17"/>
      <c r="T35" s="161"/>
      <c r="U35" s="161"/>
      <c r="V35" s="161"/>
      <c r="W35" s="161"/>
      <c r="X35" s="161"/>
      <c r="Y35" s="161"/>
      <c r="Z35" s="161"/>
      <c r="AA35" s="76"/>
      <c r="AB35" s="161"/>
      <c r="AC35" s="4"/>
      <c r="AD35" s="5"/>
    </row>
    <row r="36" spans="1:30" x14ac:dyDescent="0.4">
      <c r="A36" s="74" t="s">
        <v>79</v>
      </c>
      <c r="B36" s="201" t="s">
        <v>76</v>
      </c>
      <c r="C36" s="162">
        <v>485533.75</v>
      </c>
      <c r="D36" s="162">
        <v>40461.145833333336</v>
      </c>
      <c r="E36" s="202" t="s">
        <v>19</v>
      </c>
      <c r="F36" s="162">
        <v>40675.56</v>
      </c>
      <c r="G36" s="162">
        <v>38448.42</v>
      </c>
      <c r="H36" s="162">
        <v>39492.410000000003</v>
      </c>
      <c r="I36" s="162">
        <v>36696.769999999997</v>
      </c>
      <c r="J36" s="162">
        <v>41156.49</v>
      </c>
      <c r="K36" s="162">
        <v>43281.919999999998</v>
      </c>
      <c r="L36" s="162">
        <v>37184.74</v>
      </c>
      <c r="M36" s="162">
        <v>41961.61</v>
      </c>
      <c r="N36" s="162">
        <v>37073.660000000003</v>
      </c>
      <c r="O36" s="162">
        <v>46514.75</v>
      </c>
      <c r="P36" s="162">
        <v>41678.629999999997</v>
      </c>
      <c r="Q36" s="162">
        <v>35354.980000000003</v>
      </c>
      <c r="R36" s="162">
        <v>479519.94</v>
      </c>
      <c r="S36" s="17"/>
      <c r="T36" s="162">
        <v>36864.17</v>
      </c>
      <c r="U36" s="162">
        <v>41004.9</v>
      </c>
      <c r="V36" s="162">
        <v>41810.65</v>
      </c>
      <c r="W36" s="162">
        <v>35876.269999999997</v>
      </c>
      <c r="X36" s="162">
        <v>37722.879999999997</v>
      </c>
      <c r="Y36" s="162">
        <v>36259.919999999998</v>
      </c>
      <c r="Z36" s="162">
        <v>229538.79</v>
      </c>
      <c r="AA36" s="79"/>
      <c r="AB36" s="180">
        <f t="shared" ref="AB36:AB41" si="12">SUM(F36:K36)</f>
        <v>239751.57</v>
      </c>
      <c r="AC36" s="224">
        <f>+Z36-AB36</f>
        <v>-10212.779999999999</v>
      </c>
      <c r="AD36" s="8">
        <f t="shared" si="4"/>
        <v>-4.2597343575268343E-2</v>
      </c>
    </row>
    <row r="37" spans="1:30" x14ac:dyDescent="0.4">
      <c r="A37" s="74" t="s">
        <v>81</v>
      </c>
      <c r="B37" s="201" t="s">
        <v>78</v>
      </c>
      <c r="C37" s="162">
        <v>37072.42</v>
      </c>
      <c r="D37" s="162">
        <v>3089.3683333333333</v>
      </c>
      <c r="E37" s="202" t="s">
        <v>19</v>
      </c>
      <c r="F37" s="162">
        <v>3089.1</v>
      </c>
      <c r="G37" s="162">
        <v>2779.66</v>
      </c>
      <c r="H37" s="162">
        <v>2778.62</v>
      </c>
      <c r="I37" s="162">
        <v>2783.66</v>
      </c>
      <c r="J37" s="162">
        <v>2993.27</v>
      </c>
      <c r="K37" s="162">
        <v>3178.85</v>
      </c>
      <c r="L37" s="162">
        <v>2829.76</v>
      </c>
      <c r="M37" s="162">
        <v>3210.06</v>
      </c>
      <c r="N37" s="162">
        <v>2737</v>
      </c>
      <c r="O37" s="162">
        <v>3032.34</v>
      </c>
      <c r="P37" s="162">
        <v>3188.37</v>
      </c>
      <c r="Q37" s="162">
        <v>2704.65</v>
      </c>
      <c r="R37" s="162">
        <v>35305.339999999997</v>
      </c>
      <c r="S37" s="17"/>
      <c r="T37" s="162">
        <v>2764.2</v>
      </c>
      <c r="U37" s="162">
        <v>3136.88</v>
      </c>
      <c r="V37" s="162">
        <v>3198.54</v>
      </c>
      <c r="W37" s="162">
        <v>2744.52</v>
      </c>
      <c r="X37" s="162">
        <v>2885.82</v>
      </c>
      <c r="Y37" s="162">
        <v>2727.99</v>
      </c>
      <c r="Z37" s="162">
        <v>17457.95</v>
      </c>
      <c r="AA37" s="79"/>
      <c r="AB37" s="180">
        <f t="shared" si="12"/>
        <v>17603.16</v>
      </c>
      <c r="AC37" s="224">
        <f t="shared" ref="AC37:AC41" si="13">+Z37-AB37</f>
        <v>-145.20999999999913</v>
      </c>
      <c r="AD37" s="8">
        <f t="shared" ref="AD37:AD41" si="14">+AC37/AB37</f>
        <v>-8.249087095725945E-3</v>
      </c>
    </row>
    <row r="38" spans="1:30" x14ac:dyDescent="0.4">
      <c r="A38" s="74" t="s">
        <v>83</v>
      </c>
      <c r="B38" s="201" t="s">
        <v>80</v>
      </c>
      <c r="C38" s="162">
        <v>7473.88</v>
      </c>
      <c r="D38" s="162">
        <v>622.82333333333327</v>
      </c>
      <c r="E38" s="202" t="s">
        <v>19</v>
      </c>
      <c r="F38" s="162">
        <v>124.52</v>
      </c>
      <c r="G38" s="162">
        <v>144.47</v>
      </c>
      <c r="H38" s="162">
        <v>142.99</v>
      </c>
      <c r="I38" s="162">
        <v>2048.79</v>
      </c>
      <c r="J38" s="162">
        <v>1316.1</v>
      </c>
      <c r="K38" s="162">
        <v>496.77</v>
      </c>
      <c r="L38" s="162">
        <v>165.61</v>
      </c>
      <c r="M38" s="162">
        <v>255.23</v>
      </c>
      <c r="N38" s="162">
        <v>607.64</v>
      </c>
      <c r="O38" s="162">
        <v>489.43</v>
      </c>
      <c r="P38" s="162">
        <v>432.53</v>
      </c>
      <c r="Q38" s="162">
        <v>321.02999999999997</v>
      </c>
      <c r="R38" s="162">
        <v>6545.11</v>
      </c>
      <c r="S38" s="78"/>
      <c r="T38" s="162">
        <v>224.02</v>
      </c>
      <c r="U38" s="162">
        <v>254.24</v>
      </c>
      <c r="V38" s="162">
        <v>259.23</v>
      </c>
      <c r="W38" s="162">
        <v>2214.31</v>
      </c>
      <c r="X38" s="162">
        <v>2688.39</v>
      </c>
      <c r="Y38" s="162">
        <v>1288.3</v>
      </c>
      <c r="Z38" s="162">
        <v>6928.49</v>
      </c>
      <c r="AA38" s="79"/>
      <c r="AB38" s="180">
        <f t="shared" si="12"/>
        <v>4273.6399999999994</v>
      </c>
      <c r="AC38" s="224">
        <f t="shared" si="13"/>
        <v>2654.8500000000004</v>
      </c>
      <c r="AD38" s="8">
        <f t="shared" si="14"/>
        <v>0.62121517020619443</v>
      </c>
    </row>
    <row r="39" spans="1:30" x14ac:dyDescent="0.4">
      <c r="A39" s="74" t="s">
        <v>85</v>
      </c>
      <c r="B39" s="201" t="s">
        <v>82</v>
      </c>
      <c r="C39" s="162">
        <v>9902.69</v>
      </c>
      <c r="D39" s="162">
        <v>825.22416666666675</v>
      </c>
      <c r="E39" s="202" t="s">
        <v>19</v>
      </c>
      <c r="F39" s="162">
        <v>813.51</v>
      </c>
      <c r="G39" s="162">
        <v>768.97</v>
      </c>
      <c r="H39" s="162">
        <v>789.85</v>
      </c>
      <c r="I39" s="162">
        <v>727.75</v>
      </c>
      <c r="J39" s="162">
        <v>782.55</v>
      </c>
      <c r="K39" s="162">
        <v>831.07</v>
      </c>
      <c r="L39" s="162">
        <v>739.81</v>
      </c>
      <c r="M39" s="162">
        <v>839.23</v>
      </c>
      <c r="N39" s="162">
        <v>715.55</v>
      </c>
      <c r="O39" s="162">
        <v>792.77</v>
      </c>
      <c r="P39" s="162">
        <v>727.02</v>
      </c>
      <c r="Q39" s="162">
        <v>707.1</v>
      </c>
      <c r="R39" s="162">
        <v>9235.18</v>
      </c>
      <c r="S39" s="78"/>
      <c r="T39" s="162">
        <v>722.66</v>
      </c>
      <c r="U39" s="162">
        <v>264.56</v>
      </c>
      <c r="V39" s="162">
        <v>836.21</v>
      </c>
      <c r="W39" s="162">
        <v>717.53</v>
      </c>
      <c r="X39" s="162">
        <v>754.46</v>
      </c>
      <c r="Y39" s="162">
        <v>713.2</v>
      </c>
      <c r="Z39" s="162">
        <v>4008.62</v>
      </c>
      <c r="AA39" s="17"/>
      <c r="AB39" s="180">
        <f t="shared" si="12"/>
        <v>4713.7</v>
      </c>
      <c r="AC39" s="224">
        <f t="shared" si="13"/>
        <v>-705.07999999999993</v>
      </c>
      <c r="AD39" s="8">
        <f t="shared" si="14"/>
        <v>-0.14958100854954706</v>
      </c>
    </row>
    <row r="40" spans="1:30" x14ac:dyDescent="0.4">
      <c r="A40" s="74"/>
      <c r="B40" s="201" t="s">
        <v>84</v>
      </c>
      <c r="C40" s="162">
        <v>3511.28</v>
      </c>
      <c r="D40" s="162">
        <v>292.60666666666668</v>
      </c>
      <c r="E40" s="202" t="s">
        <v>19</v>
      </c>
      <c r="F40" s="162">
        <v>139.4</v>
      </c>
      <c r="G40" s="162">
        <v>183.89</v>
      </c>
      <c r="H40" s="162">
        <v>179.8</v>
      </c>
      <c r="I40" s="162">
        <v>210.48</v>
      </c>
      <c r="J40" s="162">
        <v>243.55</v>
      </c>
      <c r="K40" s="162">
        <v>363.3</v>
      </c>
      <c r="L40" s="162">
        <v>269.25</v>
      </c>
      <c r="M40" s="162">
        <v>401.5</v>
      </c>
      <c r="N40" s="161"/>
      <c r="O40" s="162">
        <v>59.65</v>
      </c>
      <c r="P40" s="162">
        <v>112.28</v>
      </c>
      <c r="Q40" s="162">
        <v>118.42</v>
      </c>
      <c r="R40" s="162">
        <v>2281.52</v>
      </c>
      <c r="S40" s="78"/>
      <c r="T40" s="162">
        <v>102.93</v>
      </c>
      <c r="U40" s="162">
        <v>90.36</v>
      </c>
      <c r="V40" s="162">
        <v>95.1</v>
      </c>
      <c r="W40" s="162">
        <v>92.89</v>
      </c>
      <c r="X40" s="162">
        <v>95.55</v>
      </c>
      <c r="Y40" s="162">
        <v>103.02</v>
      </c>
      <c r="Z40" s="162">
        <v>579.85</v>
      </c>
      <c r="AA40" s="17"/>
      <c r="AB40" s="180">
        <f t="shared" si="12"/>
        <v>1320.4199999999998</v>
      </c>
      <c r="AC40" s="224">
        <f t="shared" si="13"/>
        <v>-740.56999999999982</v>
      </c>
      <c r="AD40" s="8">
        <f t="shared" si="14"/>
        <v>-0.56085942351675977</v>
      </c>
    </row>
    <row r="41" spans="1:30" x14ac:dyDescent="0.4">
      <c r="A41" s="74"/>
      <c r="B41" s="201" t="s">
        <v>86</v>
      </c>
      <c r="C41" s="163">
        <v>137890.10999999999</v>
      </c>
      <c r="D41" s="163">
        <v>11490.842500000001</v>
      </c>
      <c r="E41" s="202" t="s">
        <v>19</v>
      </c>
      <c r="F41" s="163">
        <v>10941.76</v>
      </c>
      <c r="G41" s="163">
        <v>11196.88</v>
      </c>
      <c r="H41" s="163">
        <v>13209.49</v>
      </c>
      <c r="I41" s="163">
        <v>13197.91</v>
      </c>
      <c r="J41" s="163">
        <v>13262.09</v>
      </c>
      <c r="K41" s="163">
        <v>13382.77</v>
      </c>
      <c r="L41" s="163">
        <v>13407.24</v>
      </c>
      <c r="M41" s="163">
        <v>13346.6</v>
      </c>
      <c r="N41" s="163">
        <v>13711.14</v>
      </c>
      <c r="O41" s="163">
        <v>13346.6</v>
      </c>
      <c r="P41" s="163">
        <v>12108.88</v>
      </c>
      <c r="Q41" s="163">
        <v>13396.02</v>
      </c>
      <c r="R41" s="163">
        <v>154507.38</v>
      </c>
      <c r="S41" s="17"/>
      <c r="T41" s="163">
        <v>8379.14</v>
      </c>
      <c r="U41" s="163">
        <v>10851.58</v>
      </c>
      <c r="V41" s="163">
        <v>12128.07</v>
      </c>
      <c r="W41" s="163">
        <v>12104.85</v>
      </c>
      <c r="X41" s="163">
        <v>9929.01</v>
      </c>
      <c r="Y41" s="163">
        <v>10956.83</v>
      </c>
      <c r="Z41" s="163">
        <v>64349.48</v>
      </c>
      <c r="AA41" s="76"/>
      <c r="AB41" s="214">
        <f t="shared" si="12"/>
        <v>75190.899999999994</v>
      </c>
      <c r="AC41" s="11">
        <f t="shared" si="13"/>
        <v>-10841.419999999991</v>
      </c>
      <c r="AD41" s="12">
        <f t="shared" si="14"/>
        <v>-0.14418526710014101</v>
      </c>
    </row>
    <row r="42" spans="1:30" x14ac:dyDescent="0.4">
      <c r="A42" s="74"/>
      <c r="B42" s="201" t="s">
        <v>89</v>
      </c>
      <c r="C42" s="163">
        <v>681384.13</v>
      </c>
      <c r="D42" s="163">
        <v>56782.010833333334</v>
      </c>
      <c r="E42" s="202" t="s">
        <v>19</v>
      </c>
      <c r="F42" s="163">
        <v>55783.85</v>
      </c>
      <c r="G42" s="163">
        <v>53522.29</v>
      </c>
      <c r="H42" s="163">
        <v>56593.16</v>
      </c>
      <c r="I42" s="163">
        <v>55665.36</v>
      </c>
      <c r="J42" s="163">
        <v>59754.05</v>
      </c>
      <c r="K42" s="163">
        <v>61534.68</v>
      </c>
      <c r="L42" s="163">
        <v>54596.41</v>
      </c>
      <c r="M42" s="163">
        <v>60014.23</v>
      </c>
      <c r="N42" s="163">
        <v>54844.99</v>
      </c>
      <c r="O42" s="163">
        <v>64235.54</v>
      </c>
      <c r="P42" s="163">
        <v>58247.71</v>
      </c>
      <c r="Q42" s="163">
        <v>52602.2</v>
      </c>
      <c r="R42" s="163">
        <v>687394.47</v>
      </c>
      <c r="S42" s="17"/>
      <c r="T42" s="163">
        <v>49057.120000000003</v>
      </c>
      <c r="U42" s="163">
        <v>55602.52</v>
      </c>
      <c r="V42" s="163">
        <v>58327.8</v>
      </c>
      <c r="W42" s="163">
        <v>53750.37</v>
      </c>
      <c r="X42" s="163">
        <v>54076.11</v>
      </c>
      <c r="Y42" s="163">
        <v>52049.26</v>
      </c>
      <c r="Z42" s="163">
        <v>322863.18</v>
      </c>
      <c r="AA42" s="76"/>
      <c r="AB42" s="163">
        <f>SUM(AB36:AB41)</f>
        <v>342853.39</v>
      </c>
      <c r="AC42" s="163">
        <f>SUM(AC36:AC41)</f>
        <v>-19990.209999999988</v>
      </c>
      <c r="AD42" s="12">
        <f t="shared" si="4"/>
        <v>-5.830541736804757E-2</v>
      </c>
    </row>
    <row r="43" spans="1:30" x14ac:dyDescent="0.4">
      <c r="A43" s="74"/>
      <c r="B43" s="201"/>
      <c r="C43" s="161"/>
      <c r="D43" s="161"/>
      <c r="E43" s="202" t="s">
        <v>19</v>
      </c>
      <c r="F43" s="161"/>
      <c r="G43" s="161"/>
      <c r="H43" s="161"/>
      <c r="I43" s="161"/>
      <c r="J43" s="161"/>
      <c r="K43" s="161"/>
      <c r="L43" s="161"/>
      <c r="M43" s="161"/>
      <c r="N43" s="161"/>
      <c r="O43" s="161"/>
      <c r="P43" s="161"/>
      <c r="Q43" s="161"/>
      <c r="R43" s="161"/>
      <c r="S43" s="78"/>
      <c r="T43" s="161"/>
      <c r="U43" s="161"/>
      <c r="V43" s="161"/>
      <c r="W43" s="161"/>
      <c r="X43" s="161"/>
      <c r="Y43" s="161"/>
      <c r="Z43" s="161"/>
      <c r="AA43" s="76"/>
      <c r="AB43" s="161"/>
      <c r="AC43" s="4"/>
      <c r="AD43" s="5"/>
    </row>
    <row r="44" spans="1:30" x14ac:dyDescent="0.4">
      <c r="A44" s="74" t="s">
        <v>91</v>
      </c>
      <c r="B44" s="201" t="s">
        <v>57</v>
      </c>
      <c r="C44" s="161"/>
      <c r="D44" s="161"/>
      <c r="E44" s="202" t="s">
        <v>19</v>
      </c>
      <c r="F44" s="161"/>
      <c r="G44" s="161"/>
      <c r="H44" s="161"/>
      <c r="I44" s="161"/>
      <c r="J44" s="161"/>
      <c r="K44" s="161"/>
      <c r="L44" s="161"/>
      <c r="M44" s="161"/>
      <c r="N44" s="161"/>
      <c r="O44" s="161"/>
      <c r="P44" s="161"/>
      <c r="Q44" s="161"/>
      <c r="R44" s="161"/>
      <c r="S44" s="78"/>
      <c r="T44" s="161"/>
      <c r="U44" s="161"/>
      <c r="V44" s="161"/>
      <c r="W44" s="161"/>
      <c r="X44" s="161"/>
      <c r="Y44" s="161"/>
      <c r="Z44" s="161"/>
      <c r="AA44" s="17"/>
      <c r="AB44" s="161"/>
      <c r="AC44" s="4"/>
      <c r="AD44" s="5"/>
    </row>
    <row r="45" spans="1:30" x14ac:dyDescent="0.4">
      <c r="A45" s="74"/>
      <c r="B45" s="201" t="s">
        <v>90</v>
      </c>
      <c r="C45" s="161"/>
      <c r="D45" s="161"/>
      <c r="E45" s="202" t="s">
        <v>19</v>
      </c>
      <c r="F45" s="161"/>
      <c r="G45" s="161"/>
      <c r="H45" s="161"/>
      <c r="I45" s="161"/>
      <c r="J45" s="161"/>
      <c r="K45" s="161"/>
      <c r="L45" s="161"/>
      <c r="M45" s="161"/>
      <c r="N45" s="161"/>
      <c r="O45" s="161"/>
      <c r="P45" s="161"/>
      <c r="Q45" s="161"/>
      <c r="R45" s="161"/>
      <c r="S45" s="17"/>
      <c r="T45" s="161"/>
      <c r="U45" s="161"/>
      <c r="V45" s="161"/>
      <c r="W45" s="161"/>
      <c r="X45" s="161"/>
      <c r="Y45" s="161"/>
      <c r="Z45" s="161"/>
      <c r="AA45" s="17"/>
      <c r="AB45" s="161"/>
      <c r="AC45" s="4"/>
      <c r="AD45" s="5"/>
    </row>
    <row r="46" spans="1:30" x14ac:dyDescent="0.4">
      <c r="A46" s="74"/>
      <c r="B46" s="201" t="s">
        <v>92</v>
      </c>
      <c r="C46" s="163">
        <v>920.25</v>
      </c>
      <c r="D46" s="163">
        <v>76.6875</v>
      </c>
      <c r="E46" s="202" t="s">
        <v>19</v>
      </c>
      <c r="F46" s="164"/>
      <c r="G46" s="163">
        <v>259.32</v>
      </c>
      <c r="H46" s="163">
        <v>81.319999999999993</v>
      </c>
      <c r="I46" s="163">
        <v>81.319999999999993</v>
      </c>
      <c r="J46" s="164"/>
      <c r="K46" s="164"/>
      <c r="L46" s="164"/>
      <c r="M46" s="163">
        <v>210</v>
      </c>
      <c r="N46" s="164"/>
      <c r="O46" s="164"/>
      <c r="P46" s="164"/>
      <c r="Q46" s="163">
        <v>360</v>
      </c>
      <c r="R46" s="163">
        <v>991.96</v>
      </c>
      <c r="S46" s="17"/>
      <c r="T46" s="164"/>
      <c r="U46" s="164"/>
      <c r="V46" s="164"/>
      <c r="W46" s="163">
        <v>375</v>
      </c>
      <c r="X46" s="164"/>
      <c r="Y46" s="164"/>
      <c r="Z46" s="163">
        <v>375</v>
      </c>
      <c r="AA46" s="76"/>
      <c r="AB46" s="163">
        <f>SUM(F46:K46)</f>
        <v>421.96</v>
      </c>
      <c r="AC46" s="11">
        <f>+Z46-AB46</f>
        <v>-46.95999999999998</v>
      </c>
      <c r="AD46" s="5">
        <f t="shared" si="4"/>
        <v>-0.11129016968433023</v>
      </c>
    </row>
    <row r="47" spans="1:30" x14ac:dyDescent="0.4">
      <c r="A47" s="74"/>
      <c r="B47" s="201" t="s">
        <v>95</v>
      </c>
      <c r="C47" s="163">
        <v>920.25</v>
      </c>
      <c r="D47" s="163">
        <v>76.6875</v>
      </c>
      <c r="E47" s="202" t="s">
        <v>19</v>
      </c>
      <c r="F47" s="163"/>
      <c r="G47" s="163">
        <v>259.32</v>
      </c>
      <c r="H47" s="163">
        <v>81.319999999999993</v>
      </c>
      <c r="I47" s="163">
        <v>81.319999999999993</v>
      </c>
      <c r="J47" s="163"/>
      <c r="K47" s="163"/>
      <c r="L47" s="163"/>
      <c r="M47" s="163">
        <v>210</v>
      </c>
      <c r="N47" s="163"/>
      <c r="O47" s="163"/>
      <c r="P47" s="163"/>
      <c r="Q47" s="163">
        <v>360</v>
      </c>
      <c r="R47" s="163">
        <v>991.96</v>
      </c>
      <c r="S47" s="78"/>
      <c r="T47" s="163"/>
      <c r="U47" s="163"/>
      <c r="V47" s="163"/>
      <c r="W47" s="163">
        <v>375</v>
      </c>
      <c r="X47" s="163"/>
      <c r="Y47" s="163"/>
      <c r="Z47" s="163">
        <v>375</v>
      </c>
      <c r="AA47" s="76"/>
      <c r="AB47" s="163">
        <f>SUM(AB46)</f>
        <v>421.96</v>
      </c>
      <c r="AC47" s="163">
        <f>SUM(AC46)</f>
        <v>-46.95999999999998</v>
      </c>
      <c r="AD47" s="10">
        <f t="shared" si="4"/>
        <v>-0.11129016968433023</v>
      </c>
    </row>
    <row r="48" spans="1:30" x14ac:dyDescent="0.4">
      <c r="A48" s="74" t="s">
        <v>97</v>
      </c>
      <c r="B48" s="201"/>
      <c r="C48" s="161"/>
      <c r="D48" s="161"/>
      <c r="E48" s="202" t="s">
        <v>19</v>
      </c>
      <c r="F48" s="161"/>
      <c r="G48" s="161"/>
      <c r="H48" s="161"/>
      <c r="I48" s="161"/>
      <c r="J48" s="161"/>
      <c r="K48" s="161"/>
      <c r="L48" s="161"/>
      <c r="M48" s="161"/>
      <c r="N48" s="161"/>
      <c r="O48" s="161"/>
      <c r="P48" s="161"/>
      <c r="Q48" s="161"/>
      <c r="R48" s="161"/>
      <c r="S48" s="17"/>
      <c r="T48" s="161"/>
      <c r="U48" s="161"/>
      <c r="V48" s="161"/>
      <c r="W48" s="161"/>
      <c r="X48" s="161"/>
      <c r="Y48" s="161"/>
      <c r="Z48" s="161"/>
      <c r="AA48" s="78"/>
      <c r="AB48" s="161"/>
      <c r="AC48" s="4"/>
      <c r="AD48" s="5"/>
    </row>
    <row r="49" spans="1:30" x14ac:dyDescent="0.4">
      <c r="A49" s="74"/>
      <c r="B49" s="201" t="s">
        <v>96</v>
      </c>
      <c r="C49" s="161"/>
      <c r="D49" s="161"/>
      <c r="E49" s="202" t="s">
        <v>19</v>
      </c>
      <c r="F49" s="161"/>
      <c r="G49" s="161"/>
      <c r="H49" s="161"/>
      <c r="I49" s="161"/>
      <c r="J49" s="161"/>
      <c r="K49" s="161"/>
      <c r="L49" s="161"/>
      <c r="M49" s="161"/>
      <c r="N49" s="161"/>
      <c r="O49" s="161"/>
      <c r="P49" s="161"/>
      <c r="Q49" s="161"/>
      <c r="R49" s="161"/>
      <c r="S49" s="78"/>
      <c r="T49" s="161"/>
      <c r="U49" s="161"/>
      <c r="V49" s="161"/>
      <c r="W49" s="161"/>
      <c r="X49" s="161"/>
      <c r="Y49" s="161"/>
      <c r="Z49" s="161"/>
      <c r="AA49" s="17"/>
      <c r="AB49" s="161"/>
      <c r="AC49" s="4"/>
      <c r="AD49" s="5"/>
    </row>
    <row r="50" spans="1:30" x14ac:dyDescent="0.4">
      <c r="A50" s="74"/>
      <c r="B50" s="201" t="s">
        <v>98</v>
      </c>
      <c r="C50" s="163">
        <v>34743.410000000003</v>
      </c>
      <c r="D50" s="163">
        <v>2895.2841666666668</v>
      </c>
      <c r="E50" s="202" t="s">
        <v>19</v>
      </c>
      <c r="F50" s="164"/>
      <c r="G50" s="164"/>
      <c r="H50" s="164"/>
      <c r="I50" s="164"/>
      <c r="J50" s="164"/>
      <c r="K50" s="164"/>
      <c r="L50" s="164"/>
      <c r="M50" s="164"/>
      <c r="N50" s="164"/>
      <c r="O50" s="164"/>
      <c r="P50" s="164"/>
      <c r="Q50" s="164"/>
      <c r="R50" s="164"/>
      <c r="S50" s="78"/>
      <c r="T50" s="164"/>
      <c r="U50" s="164"/>
      <c r="V50" s="164"/>
      <c r="W50" s="164"/>
      <c r="X50" s="164"/>
      <c r="Y50" s="164"/>
      <c r="Z50" s="164"/>
      <c r="AA50" s="76"/>
      <c r="AB50" s="163">
        <f>SUM(F50:K50)</f>
        <v>0</v>
      </c>
      <c r="AC50" s="11">
        <f>+Z50-AB50</f>
        <v>0</v>
      </c>
      <c r="AD50" s="5" t="e">
        <f t="shared" si="4"/>
        <v>#DIV/0!</v>
      </c>
    </row>
    <row r="51" spans="1:30" x14ac:dyDescent="0.4">
      <c r="A51" s="74"/>
      <c r="B51" s="201" t="s">
        <v>101</v>
      </c>
      <c r="C51" s="163">
        <v>34743.410000000003</v>
      </c>
      <c r="D51" s="163">
        <v>2895.2841666666668</v>
      </c>
      <c r="E51" s="202" t="s">
        <v>19</v>
      </c>
      <c r="F51" s="163"/>
      <c r="G51" s="163"/>
      <c r="H51" s="163"/>
      <c r="I51" s="163"/>
      <c r="J51" s="163"/>
      <c r="K51" s="163"/>
      <c r="L51" s="163"/>
      <c r="M51" s="163"/>
      <c r="N51" s="163"/>
      <c r="O51" s="163"/>
      <c r="P51" s="163"/>
      <c r="Q51" s="163"/>
      <c r="R51" s="163"/>
      <c r="S51" s="17"/>
      <c r="T51" s="163"/>
      <c r="U51" s="163"/>
      <c r="V51" s="163"/>
      <c r="W51" s="163"/>
      <c r="X51" s="163"/>
      <c r="Y51" s="163"/>
      <c r="Z51" s="163"/>
      <c r="AA51" s="17"/>
      <c r="AB51" s="163">
        <f>SUM(AB50)</f>
        <v>0</v>
      </c>
      <c r="AC51" s="163">
        <f>SUM(AC50)</f>
        <v>0</v>
      </c>
      <c r="AD51" s="10" t="e">
        <f t="shared" si="4"/>
        <v>#DIV/0!</v>
      </c>
    </row>
    <row r="52" spans="1:30" x14ac:dyDescent="0.4">
      <c r="A52" s="74"/>
      <c r="B52" s="201"/>
      <c r="C52" s="161"/>
      <c r="D52" s="161"/>
      <c r="E52" s="202" t="s">
        <v>19</v>
      </c>
      <c r="F52" s="161"/>
      <c r="G52" s="161"/>
      <c r="H52" s="161"/>
      <c r="I52" s="161"/>
      <c r="J52" s="161"/>
      <c r="K52" s="161"/>
      <c r="L52" s="161"/>
      <c r="M52" s="161"/>
      <c r="N52" s="161"/>
      <c r="O52" s="161"/>
      <c r="P52" s="161"/>
      <c r="Q52" s="161"/>
      <c r="R52" s="161"/>
      <c r="S52" s="17"/>
      <c r="T52" s="161"/>
      <c r="U52" s="161"/>
      <c r="V52" s="161"/>
      <c r="W52" s="161"/>
      <c r="X52" s="161"/>
      <c r="Y52" s="161"/>
      <c r="Z52" s="161"/>
      <c r="AA52" s="76"/>
      <c r="AB52" s="161"/>
      <c r="AC52" s="4"/>
      <c r="AD52" s="5"/>
    </row>
    <row r="53" spans="1:30" x14ac:dyDescent="0.4">
      <c r="A53" s="74"/>
      <c r="B53" s="201" t="s">
        <v>102</v>
      </c>
      <c r="C53" s="163">
        <v>35663.660000000003</v>
      </c>
      <c r="D53" s="163">
        <v>2971.9716666666668</v>
      </c>
      <c r="E53" s="202" t="s">
        <v>19</v>
      </c>
      <c r="F53" s="163"/>
      <c r="G53" s="163">
        <v>259.32</v>
      </c>
      <c r="H53" s="163">
        <v>81.319999999999993</v>
      </c>
      <c r="I53" s="163">
        <v>81.319999999999993</v>
      </c>
      <c r="J53" s="163"/>
      <c r="K53" s="163"/>
      <c r="L53" s="163"/>
      <c r="M53" s="163">
        <v>210</v>
      </c>
      <c r="N53" s="163"/>
      <c r="O53" s="163"/>
      <c r="P53" s="163"/>
      <c r="Q53" s="163">
        <v>360</v>
      </c>
      <c r="R53" s="163">
        <v>991.96</v>
      </c>
      <c r="S53" s="17"/>
      <c r="T53" s="163"/>
      <c r="U53" s="163"/>
      <c r="V53" s="163"/>
      <c r="W53" s="163">
        <v>375</v>
      </c>
      <c r="X53" s="163"/>
      <c r="Y53" s="163"/>
      <c r="Z53" s="163">
        <v>375</v>
      </c>
      <c r="AA53" s="76"/>
      <c r="AB53" s="163">
        <f>SUM(F53:K53)</f>
        <v>421.96</v>
      </c>
      <c r="AC53" s="11">
        <f>+Z53-AB53</f>
        <v>-46.95999999999998</v>
      </c>
      <c r="AD53" s="12">
        <f t="shared" si="4"/>
        <v>-0.11129016968433023</v>
      </c>
    </row>
    <row r="54" spans="1:30" x14ac:dyDescent="0.4">
      <c r="A54" s="74" t="s">
        <v>104</v>
      </c>
      <c r="B54" s="201"/>
      <c r="C54" s="161"/>
      <c r="D54" s="161"/>
      <c r="E54" s="202" t="s">
        <v>19</v>
      </c>
      <c r="F54" s="161"/>
      <c r="G54" s="161"/>
      <c r="H54" s="161"/>
      <c r="I54" s="161"/>
      <c r="J54" s="161"/>
      <c r="K54" s="161"/>
      <c r="L54" s="161"/>
      <c r="M54" s="161"/>
      <c r="N54" s="161"/>
      <c r="O54" s="161"/>
      <c r="P54" s="161"/>
      <c r="Q54" s="161"/>
      <c r="R54" s="161"/>
      <c r="S54" s="17"/>
      <c r="T54" s="161"/>
      <c r="U54" s="161"/>
      <c r="V54" s="161"/>
      <c r="W54" s="161"/>
      <c r="X54" s="161"/>
      <c r="Y54" s="161"/>
      <c r="Z54" s="161"/>
      <c r="AA54" s="79"/>
      <c r="AB54" s="161"/>
      <c r="AC54" s="4"/>
      <c r="AD54" s="5"/>
    </row>
    <row r="55" spans="1:30" x14ac:dyDescent="0.4">
      <c r="A55" s="74" t="s">
        <v>108</v>
      </c>
      <c r="B55" s="201" t="s">
        <v>103</v>
      </c>
      <c r="C55" s="161"/>
      <c r="D55" s="161"/>
      <c r="E55" s="202" t="s">
        <v>19</v>
      </c>
      <c r="F55" s="161"/>
      <c r="G55" s="161"/>
      <c r="H55" s="161"/>
      <c r="I55" s="161"/>
      <c r="J55" s="161"/>
      <c r="K55" s="161"/>
      <c r="L55" s="161"/>
      <c r="M55" s="161"/>
      <c r="N55" s="161"/>
      <c r="O55" s="161"/>
      <c r="P55" s="161"/>
      <c r="Q55" s="161"/>
      <c r="R55" s="161"/>
      <c r="S55" s="17"/>
      <c r="T55" s="161"/>
      <c r="U55" s="161"/>
      <c r="V55" s="161"/>
      <c r="W55" s="161"/>
      <c r="X55" s="161"/>
      <c r="Y55" s="161"/>
      <c r="Z55" s="161"/>
      <c r="AA55" s="79"/>
      <c r="AB55" s="161"/>
      <c r="AC55" s="4"/>
      <c r="AD55" s="5"/>
    </row>
    <row r="56" spans="1:30" x14ac:dyDescent="0.4">
      <c r="A56" s="74" t="s">
        <v>110</v>
      </c>
      <c r="B56" s="201" t="s">
        <v>105</v>
      </c>
      <c r="C56" s="162">
        <v>55168.27</v>
      </c>
      <c r="D56" s="162">
        <v>4597.3558333333331</v>
      </c>
      <c r="E56" s="202" t="s">
        <v>19</v>
      </c>
      <c r="F56" s="162">
        <v>7946.28</v>
      </c>
      <c r="G56" s="162">
        <v>2683.83</v>
      </c>
      <c r="H56" s="162">
        <v>6485.09</v>
      </c>
      <c r="I56" s="162">
        <v>2859.32</v>
      </c>
      <c r="J56" s="162">
        <v>13652.72</v>
      </c>
      <c r="K56" s="162">
        <v>6572.83</v>
      </c>
      <c r="L56" s="162">
        <v>3160.04</v>
      </c>
      <c r="M56" s="162">
        <v>9855.9599999999991</v>
      </c>
      <c r="N56" s="162">
        <v>3031.26</v>
      </c>
      <c r="O56" s="162">
        <v>3222.89</v>
      </c>
      <c r="P56" s="162">
        <v>9681.9</v>
      </c>
      <c r="Q56" s="162">
        <v>2202.4499999999998</v>
      </c>
      <c r="R56" s="162">
        <v>71354.570000000007</v>
      </c>
      <c r="S56" s="78"/>
      <c r="T56" s="162">
        <v>4867.2299999999996</v>
      </c>
      <c r="U56" s="162">
        <v>5101.0600000000004</v>
      </c>
      <c r="V56" s="162">
        <v>2546.41</v>
      </c>
      <c r="W56" s="162">
        <v>2715.05</v>
      </c>
      <c r="X56" s="162">
        <v>4078.99</v>
      </c>
      <c r="Y56" s="162">
        <v>4777.68</v>
      </c>
      <c r="Z56" s="162">
        <v>24086.42</v>
      </c>
      <c r="AA56" s="79"/>
      <c r="AB56" s="180">
        <f t="shared" ref="AB56:AB70" si="15">SUM(F56:K56)</f>
        <v>40200.07</v>
      </c>
      <c r="AC56" s="224">
        <f>+Z56-AB56</f>
        <v>-16113.650000000001</v>
      </c>
      <c r="AD56" s="8">
        <f t="shared" si="4"/>
        <v>-0.40083636670284412</v>
      </c>
    </row>
    <row r="57" spans="1:30" x14ac:dyDescent="0.4">
      <c r="A57" s="74" t="s">
        <v>114</v>
      </c>
      <c r="B57" s="201" t="s">
        <v>109</v>
      </c>
      <c r="C57" s="162">
        <v>10686.86</v>
      </c>
      <c r="D57" s="162">
        <v>890.57166666666672</v>
      </c>
      <c r="E57" s="202" t="s">
        <v>19</v>
      </c>
      <c r="F57" s="162">
        <v>1826.83</v>
      </c>
      <c r="G57" s="161"/>
      <c r="H57" s="162">
        <v>1009.24</v>
      </c>
      <c r="I57" s="161"/>
      <c r="J57" s="162">
        <v>686.29</v>
      </c>
      <c r="K57" s="162">
        <v>1328.81</v>
      </c>
      <c r="L57" s="161"/>
      <c r="M57" s="161"/>
      <c r="N57" s="161"/>
      <c r="O57" s="162">
        <v>3626.09</v>
      </c>
      <c r="P57" s="162">
        <v>2654.68</v>
      </c>
      <c r="Q57" s="162">
        <v>3387</v>
      </c>
      <c r="R57" s="162">
        <v>14518.94</v>
      </c>
      <c r="S57" s="17"/>
      <c r="T57" s="162">
        <v>2127.5300000000002</v>
      </c>
      <c r="U57" s="162">
        <v>562.22</v>
      </c>
      <c r="V57" s="161"/>
      <c r="W57" s="162">
        <v>270.54000000000002</v>
      </c>
      <c r="X57" s="162">
        <v>311.2</v>
      </c>
      <c r="Y57" s="162">
        <v>317.5</v>
      </c>
      <c r="Z57" s="162">
        <v>3588.99</v>
      </c>
      <c r="AA57" s="79"/>
      <c r="AB57" s="180">
        <f t="shared" si="15"/>
        <v>4851.17</v>
      </c>
      <c r="AC57" s="224">
        <f t="shared" ref="AC57:AC70" si="16">+Z57-AB57</f>
        <v>-1262.1800000000003</v>
      </c>
      <c r="AD57" s="8">
        <f t="shared" ref="AD57:AD70" si="17">+AC57/AB57</f>
        <v>-0.2601805337681426</v>
      </c>
    </row>
    <row r="58" spans="1:30" x14ac:dyDescent="0.4">
      <c r="A58" s="74" t="s">
        <v>116</v>
      </c>
      <c r="B58" s="201" t="s">
        <v>111</v>
      </c>
      <c r="C58" s="162">
        <v>837.49</v>
      </c>
      <c r="D58" s="162">
        <v>69.790833333333296</v>
      </c>
      <c r="E58" s="202" t="s">
        <v>19</v>
      </c>
      <c r="F58" s="161"/>
      <c r="G58" s="161"/>
      <c r="H58" s="161"/>
      <c r="I58" s="161"/>
      <c r="J58" s="162">
        <v>5.5</v>
      </c>
      <c r="K58" s="162">
        <v>858.02</v>
      </c>
      <c r="L58" s="161"/>
      <c r="M58" s="162">
        <v>89.04</v>
      </c>
      <c r="N58" s="161"/>
      <c r="O58" s="161"/>
      <c r="P58" s="161"/>
      <c r="Q58" s="161"/>
      <c r="R58" s="162">
        <v>952.56</v>
      </c>
      <c r="S58" s="17"/>
      <c r="T58" s="161"/>
      <c r="U58" s="161"/>
      <c r="V58" s="161"/>
      <c r="W58" s="161"/>
      <c r="X58" s="161"/>
      <c r="Y58" s="161"/>
      <c r="Z58" s="161"/>
      <c r="AA58" s="76"/>
      <c r="AB58" s="180">
        <f t="shared" si="15"/>
        <v>863.52</v>
      </c>
      <c r="AC58" s="224">
        <f t="shared" si="16"/>
        <v>-863.52</v>
      </c>
      <c r="AD58" s="8">
        <f t="shared" si="17"/>
        <v>-1</v>
      </c>
    </row>
    <row r="59" spans="1:30" x14ac:dyDescent="0.4">
      <c r="A59" s="74"/>
      <c r="B59" s="201" t="s">
        <v>115</v>
      </c>
      <c r="C59" s="162">
        <v>120660.87</v>
      </c>
      <c r="D59" s="162">
        <v>10055.0725</v>
      </c>
      <c r="E59" s="202" t="s">
        <v>19</v>
      </c>
      <c r="F59" s="162">
        <v>12999.28</v>
      </c>
      <c r="G59" s="162">
        <v>16454.96</v>
      </c>
      <c r="H59" s="162">
        <v>9019.82</v>
      </c>
      <c r="I59" s="162">
        <v>11789.91</v>
      </c>
      <c r="J59" s="162">
        <v>15812.04</v>
      </c>
      <c r="K59" s="162">
        <v>11746.53</v>
      </c>
      <c r="L59" s="162">
        <v>7247.85</v>
      </c>
      <c r="M59" s="162">
        <v>16868.189999999999</v>
      </c>
      <c r="N59" s="162">
        <v>10939.72</v>
      </c>
      <c r="O59" s="162">
        <v>9230.4599999999991</v>
      </c>
      <c r="P59" s="162">
        <v>9144.81</v>
      </c>
      <c r="Q59" s="162">
        <v>9408.6</v>
      </c>
      <c r="R59" s="162">
        <v>140662.17000000001</v>
      </c>
      <c r="S59" s="17"/>
      <c r="T59" s="162">
        <v>23971.54</v>
      </c>
      <c r="U59" s="162">
        <v>15293.78</v>
      </c>
      <c r="V59" s="162">
        <v>18584.169999999998</v>
      </c>
      <c r="W59" s="162">
        <v>7650.74</v>
      </c>
      <c r="X59" s="162">
        <v>9481.7199999999993</v>
      </c>
      <c r="Y59" s="162">
        <v>15815.89</v>
      </c>
      <c r="Z59" s="162">
        <v>90797.84</v>
      </c>
      <c r="AA59" s="76"/>
      <c r="AB59" s="180">
        <f t="shared" si="15"/>
        <v>77822.540000000008</v>
      </c>
      <c r="AC59" s="224">
        <f t="shared" si="16"/>
        <v>12975.299999999988</v>
      </c>
      <c r="AD59" s="8">
        <f t="shared" si="17"/>
        <v>0.16672933060267614</v>
      </c>
    </row>
    <row r="60" spans="1:30" x14ac:dyDescent="0.4">
      <c r="A60" s="74" t="s">
        <v>128</v>
      </c>
      <c r="B60" s="201" t="s">
        <v>117</v>
      </c>
      <c r="C60" s="162">
        <v>3198.22</v>
      </c>
      <c r="D60" s="162">
        <v>266.51833333333332</v>
      </c>
      <c r="E60" s="202" t="s">
        <v>19</v>
      </c>
      <c r="F60" s="161"/>
      <c r="G60" s="161"/>
      <c r="H60" s="161"/>
      <c r="I60" s="161"/>
      <c r="J60" s="161"/>
      <c r="K60" s="161"/>
      <c r="L60" s="161"/>
      <c r="M60" s="161"/>
      <c r="N60" s="161"/>
      <c r="O60" s="161"/>
      <c r="P60" s="161"/>
      <c r="Q60" s="161"/>
      <c r="R60" s="161"/>
      <c r="S60" s="17"/>
      <c r="T60" s="161"/>
      <c r="U60" s="161"/>
      <c r="V60" s="161"/>
      <c r="W60" s="161"/>
      <c r="X60" s="161"/>
      <c r="Y60" s="161"/>
      <c r="Z60" s="161"/>
      <c r="AA60" s="79"/>
      <c r="AB60" s="180">
        <f t="shared" si="15"/>
        <v>0</v>
      </c>
      <c r="AC60" s="224">
        <f t="shared" si="16"/>
        <v>0</v>
      </c>
      <c r="AD60" s="8" t="e">
        <f t="shared" si="17"/>
        <v>#DIV/0!</v>
      </c>
    </row>
    <row r="61" spans="1:30" x14ac:dyDescent="0.4">
      <c r="A61" s="74" t="s">
        <v>132</v>
      </c>
      <c r="B61" s="201" t="s">
        <v>129</v>
      </c>
      <c r="C61" s="162">
        <v>20537.18</v>
      </c>
      <c r="D61" s="162">
        <v>1711.4316666666666</v>
      </c>
      <c r="E61" s="202" t="s">
        <v>19</v>
      </c>
      <c r="F61" s="162">
        <v>895.15</v>
      </c>
      <c r="G61" s="162">
        <v>4992.83</v>
      </c>
      <c r="H61" s="162">
        <v>1435.27</v>
      </c>
      <c r="I61" s="162">
        <v>4478.1000000000004</v>
      </c>
      <c r="J61" s="162">
        <v>1003.7</v>
      </c>
      <c r="K61" s="162">
        <v>4463.6899999999996</v>
      </c>
      <c r="L61" s="162">
        <v>1346.08</v>
      </c>
      <c r="M61" s="162">
        <v>852.54</v>
      </c>
      <c r="N61" s="162">
        <v>4300.46</v>
      </c>
      <c r="O61" s="162">
        <v>1319.24</v>
      </c>
      <c r="P61" s="162">
        <v>845.59</v>
      </c>
      <c r="Q61" s="162">
        <v>3660.15</v>
      </c>
      <c r="R61" s="162">
        <v>29592.799999999999</v>
      </c>
      <c r="S61" s="78"/>
      <c r="T61" s="162">
        <v>1480.14</v>
      </c>
      <c r="U61" s="162">
        <v>4578.3599999999997</v>
      </c>
      <c r="V61" s="162">
        <v>1980.97</v>
      </c>
      <c r="W61" s="162">
        <v>2313.91</v>
      </c>
      <c r="X61" s="162">
        <v>1769.65</v>
      </c>
      <c r="Y61" s="162">
        <v>2790.76</v>
      </c>
      <c r="Z61" s="162">
        <v>14913.79</v>
      </c>
      <c r="AA61" s="79"/>
      <c r="AB61" s="180">
        <f t="shared" si="15"/>
        <v>17268.740000000002</v>
      </c>
      <c r="AC61" s="224">
        <f t="shared" si="16"/>
        <v>-2354.9500000000007</v>
      </c>
      <c r="AD61" s="8">
        <f t="shared" si="17"/>
        <v>-0.13637069062363558</v>
      </c>
    </row>
    <row r="62" spans="1:30" x14ac:dyDescent="0.4">
      <c r="A62" s="74" t="s">
        <v>134</v>
      </c>
      <c r="B62" s="201" t="s">
        <v>133</v>
      </c>
      <c r="C62" s="162">
        <v>2545.46</v>
      </c>
      <c r="D62" s="162">
        <v>212.1216666666667</v>
      </c>
      <c r="E62" s="202" t="s">
        <v>19</v>
      </c>
      <c r="F62" s="162">
        <v>401.06</v>
      </c>
      <c r="G62" s="162">
        <v>241.74</v>
      </c>
      <c r="H62" s="162">
        <v>568.07000000000005</v>
      </c>
      <c r="I62" s="162">
        <v>198.02</v>
      </c>
      <c r="J62" s="162">
        <v>201.87</v>
      </c>
      <c r="K62" s="162">
        <v>149.05000000000001</v>
      </c>
      <c r="L62" s="161"/>
      <c r="M62" s="161"/>
      <c r="N62" s="161"/>
      <c r="O62" s="161"/>
      <c r="P62" s="162">
        <v>350</v>
      </c>
      <c r="Q62" s="161"/>
      <c r="R62" s="162">
        <v>2109.81</v>
      </c>
      <c r="S62" s="17"/>
      <c r="T62" s="161"/>
      <c r="U62" s="161"/>
      <c r="V62" s="162">
        <v>14.18</v>
      </c>
      <c r="W62" s="162">
        <v>107.79</v>
      </c>
      <c r="X62" s="162">
        <v>54.83</v>
      </c>
      <c r="Y62" s="162">
        <v>176.83</v>
      </c>
      <c r="Z62" s="162">
        <v>353.63</v>
      </c>
      <c r="AA62" s="79"/>
      <c r="AB62" s="180">
        <f t="shared" si="15"/>
        <v>1759.8099999999997</v>
      </c>
      <c r="AC62" s="224">
        <f t="shared" si="16"/>
        <v>-1406.1799999999998</v>
      </c>
      <c r="AD62" s="8">
        <f t="shared" si="17"/>
        <v>-0.79905217040475962</v>
      </c>
    </row>
    <row r="63" spans="1:30" x14ac:dyDescent="0.4">
      <c r="A63" s="74" t="s">
        <v>136</v>
      </c>
      <c r="B63" s="201" t="s">
        <v>135</v>
      </c>
      <c r="C63" s="162">
        <v>16509.8</v>
      </c>
      <c r="D63" s="162">
        <v>1375.8166666666666</v>
      </c>
      <c r="E63" s="202" t="s">
        <v>19</v>
      </c>
      <c r="F63" s="162">
        <v>2517.84</v>
      </c>
      <c r="G63" s="162">
        <v>1634.92</v>
      </c>
      <c r="H63" s="162">
        <v>2828.45</v>
      </c>
      <c r="I63" s="162">
        <v>1779.87</v>
      </c>
      <c r="J63" s="162">
        <v>2409.2800000000002</v>
      </c>
      <c r="K63" s="162">
        <v>1164.22</v>
      </c>
      <c r="L63" s="162">
        <v>1291.72</v>
      </c>
      <c r="M63" s="162">
        <v>475.6</v>
      </c>
      <c r="N63" s="162">
        <v>1587.45</v>
      </c>
      <c r="O63" s="162">
        <v>1408.06</v>
      </c>
      <c r="P63" s="162">
        <v>515.44000000000005</v>
      </c>
      <c r="Q63" s="162">
        <v>4314.78</v>
      </c>
      <c r="R63" s="162">
        <v>21927.63</v>
      </c>
      <c r="S63" s="17"/>
      <c r="T63" s="162">
        <v>673.67</v>
      </c>
      <c r="U63" s="162">
        <v>623.20000000000005</v>
      </c>
      <c r="V63" s="162">
        <v>435.72</v>
      </c>
      <c r="W63" s="162">
        <v>1544.22</v>
      </c>
      <c r="X63" s="162">
        <v>2518.65</v>
      </c>
      <c r="Y63" s="162">
        <v>905.62</v>
      </c>
      <c r="Z63" s="162">
        <v>6701.08</v>
      </c>
      <c r="AA63" s="79"/>
      <c r="AB63" s="180">
        <f t="shared" si="15"/>
        <v>12334.58</v>
      </c>
      <c r="AC63" s="224">
        <f t="shared" si="16"/>
        <v>-5633.5</v>
      </c>
      <c r="AD63" s="8">
        <f t="shared" si="17"/>
        <v>-0.45672410410407166</v>
      </c>
    </row>
    <row r="64" spans="1:30" x14ac:dyDescent="0.4">
      <c r="A64" s="74" t="s">
        <v>138</v>
      </c>
      <c r="B64" s="201" t="s">
        <v>137</v>
      </c>
      <c r="C64" s="162">
        <v>6833.25</v>
      </c>
      <c r="D64" s="162">
        <v>569.4375</v>
      </c>
      <c r="E64" s="202" t="s">
        <v>19</v>
      </c>
      <c r="F64" s="161"/>
      <c r="G64" s="161"/>
      <c r="H64" s="161"/>
      <c r="I64" s="161"/>
      <c r="J64" s="161"/>
      <c r="K64" s="161"/>
      <c r="L64" s="161"/>
      <c r="M64" s="161"/>
      <c r="N64" s="161"/>
      <c r="O64" s="161"/>
      <c r="P64" s="161"/>
      <c r="Q64" s="161"/>
      <c r="R64" s="161"/>
      <c r="S64" s="17"/>
      <c r="T64" s="162"/>
      <c r="U64" s="162"/>
      <c r="V64" s="162"/>
      <c r="W64" s="162"/>
      <c r="X64" s="162"/>
      <c r="Y64" s="162"/>
      <c r="Z64" s="162"/>
      <c r="AA64" s="79"/>
      <c r="AB64" s="180">
        <f t="shared" si="15"/>
        <v>0</v>
      </c>
      <c r="AC64" s="224">
        <f t="shared" si="16"/>
        <v>0</v>
      </c>
      <c r="AD64" s="8" t="e">
        <f t="shared" si="17"/>
        <v>#DIV/0!</v>
      </c>
    </row>
    <row r="65" spans="1:30" x14ac:dyDescent="0.4">
      <c r="A65" s="74" t="s">
        <v>140</v>
      </c>
      <c r="B65" s="201" t="s">
        <v>139</v>
      </c>
      <c r="C65" s="161"/>
      <c r="D65" s="162"/>
      <c r="E65" s="202" t="s">
        <v>19</v>
      </c>
      <c r="F65" s="162">
        <v>100</v>
      </c>
      <c r="G65" s="162">
        <v>60</v>
      </c>
      <c r="H65" s="161"/>
      <c r="I65" s="161"/>
      <c r="J65" s="161"/>
      <c r="K65" s="161"/>
      <c r="L65" s="161"/>
      <c r="M65" s="162"/>
      <c r="N65" s="161"/>
      <c r="O65" s="161"/>
      <c r="P65" s="161"/>
      <c r="Q65" s="161"/>
      <c r="R65" s="162">
        <v>160</v>
      </c>
      <c r="S65" s="17"/>
      <c r="T65" s="161"/>
      <c r="U65" s="161"/>
      <c r="V65" s="161"/>
      <c r="W65" s="161"/>
      <c r="X65" s="161"/>
      <c r="Y65" s="161"/>
      <c r="Z65" s="161"/>
      <c r="AA65" s="76"/>
      <c r="AB65" s="180">
        <f t="shared" si="15"/>
        <v>160</v>
      </c>
      <c r="AC65" s="224">
        <f t="shared" si="16"/>
        <v>-160</v>
      </c>
      <c r="AD65" s="8">
        <f t="shared" si="17"/>
        <v>-1</v>
      </c>
    </row>
    <row r="66" spans="1:30" x14ac:dyDescent="0.4">
      <c r="A66" s="74" t="s">
        <v>142</v>
      </c>
      <c r="B66" s="201" t="s">
        <v>141</v>
      </c>
      <c r="C66" s="162">
        <v>170273.33</v>
      </c>
      <c r="D66" s="162">
        <v>14189.444166666666</v>
      </c>
      <c r="E66" s="202" t="s">
        <v>19</v>
      </c>
      <c r="F66" s="162">
        <v>16075.9</v>
      </c>
      <c r="G66" s="162">
        <v>15310.38</v>
      </c>
      <c r="H66" s="162">
        <v>15310.38</v>
      </c>
      <c r="I66" s="162">
        <v>15310.38</v>
      </c>
      <c r="J66" s="162">
        <v>16075.9</v>
      </c>
      <c r="K66" s="162">
        <v>15310.38</v>
      </c>
      <c r="L66" s="162">
        <v>15871.27</v>
      </c>
      <c r="M66" s="162">
        <v>16888.419999999998</v>
      </c>
      <c r="N66" s="162">
        <v>15871.27</v>
      </c>
      <c r="O66" s="162">
        <v>16376.48</v>
      </c>
      <c r="P66" s="162">
        <v>16271.27</v>
      </c>
      <c r="Q66" s="162">
        <v>400</v>
      </c>
      <c r="R66" s="162">
        <v>175072.03</v>
      </c>
      <c r="S66" s="17"/>
      <c r="T66" s="162">
        <v>16071.22</v>
      </c>
      <c r="U66" s="162">
        <v>16271.27</v>
      </c>
      <c r="V66" s="162">
        <v>16309.27</v>
      </c>
      <c r="W66" s="162">
        <v>16309.27</v>
      </c>
      <c r="X66" s="162">
        <v>32180.54</v>
      </c>
      <c r="Y66" s="162">
        <v>18682.419999999998</v>
      </c>
      <c r="Z66" s="162">
        <v>115823.99</v>
      </c>
      <c r="AA66" s="79"/>
      <c r="AB66" s="180">
        <f t="shared" si="15"/>
        <v>93393.319999999992</v>
      </c>
      <c r="AC66" s="224">
        <f t="shared" si="16"/>
        <v>22430.670000000013</v>
      </c>
      <c r="AD66" s="8">
        <f t="shared" si="17"/>
        <v>0.2401742437253544</v>
      </c>
    </row>
    <row r="67" spans="1:30" x14ac:dyDescent="0.4">
      <c r="A67" s="74" t="s">
        <v>146</v>
      </c>
      <c r="B67" s="201" t="s">
        <v>143</v>
      </c>
      <c r="C67" s="162">
        <v>2464.85</v>
      </c>
      <c r="D67" s="162">
        <v>205.4041666666667</v>
      </c>
      <c r="E67" s="202" t="s">
        <v>19</v>
      </c>
      <c r="F67" s="161"/>
      <c r="G67" s="161"/>
      <c r="H67" s="161"/>
      <c r="I67" s="161"/>
      <c r="J67" s="161"/>
      <c r="K67" s="161"/>
      <c r="L67" s="161"/>
      <c r="M67" s="161"/>
      <c r="N67" s="161"/>
      <c r="O67" s="161"/>
      <c r="P67" s="161"/>
      <c r="Q67" s="161"/>
      <c r="R67" s="161"/>
      <c r="S67" s="17"/>
      <c r="T67" s="161"/>
      <c r="U67" s="161"/>
      <c r="V67" s="161"/>
      <c r="W67" s="161"/>
      <c r="X67" s="161"/>
      <c r="Y67" s="161"/>
      <c r="Z67" s="161"/>
      <c r="AA67" s="17"/>
      <c r="AB67" s="180">
        <f t="shared" si="15"/>
        <v>0</v>
      </c>
      <c r="AC67" s="224">
        <f t="shared" si="16"/>
        <v>0</v>
      </c>
      <c r="AD67" s="8" t="e">
        <f t="shared" si="17"/>
        <v>#DIV/0!</v>
      </c>
    </row>
    <row r="68" spans="1:30" x14ac:dyDescent="0.4">
      <c r="A68" s="74" t="s">
        <v>148</v>
      </c>
      <c r="B68" s="201" t="s">
        <v>147</v>
      </c>
      <c r="C68" s="162">
        <v>9579.7000000000007</v>
      </c>
      <c r="D68" s="162">
        <v>798.30833333333328</v>
      </c>
      <c r="E68" s="202" t="s">
        <v>19</v>
      </c>
      <c r="F68" s="162"/>
      <c r="G68" s="161"/>
      <c r="H68" s="162"/>
      <c r="I68" s="161"/>
      <c r="J68" s="162"/>
      <c r="K68" s="162"/>
      <c r="L68" s="161"/>
      <c r="M68" s="162"/>
      <c r="N68" s="162"/>
      <c r="O68" s="162">
        <v>4288.53</v>
      </c>
      <c r="P68" s="162">
        <v>1213.58</v>
      </c>
      <c r="Q68" s="161"/>
      <c r="R68" s="162">
        <v>5502.11</v>
      </c>
      <c r="S68" s="78"/>
      <c r="T68" s="161"/>
      <c r="U68" s="162">
        <v>7424.94</v>
      </c>
      <c r="V68" s="161"/>
      <c r="W68" s="161"/>
      <c r="X68" s="161"/>
      <c r="Y68" s="161"/>
      <c r="Z68" s="162">
        <v>7424.94</v>
      </c>
      <c r="AA68" s="17"/>
      <c r="AB68" s="180">
        <f t="shared" si="15"/>
        <v>0</v>
      </c>
      <c r="AC68" s="224">
        <f t="shared" si="16"/>
        <v>7424.94</v>
      </c>
      <c r="AD68" s="8" t="e">
        <f t="shared" si="17"/>
        <v>#DIV/0!</v>
      </c>
    </row>
    <row r="69" spans="1:30" x14ac:dyDescent="0.4">
      <c r="A69" s="74"/>
      <c r="B69" s="201" t="s">
        <v>149</v>
      </c>
      <c r="C69" s="162">
        <v>1960.1</v>
      </c>
      <c r="D69" s="162">
        <v>163.3416666666667</v>
      </c>
      <c r="E69" s="202" t="s">
        <v>19</v>
      </c>
      <c r="F69" s="161"/>
      <c r="G69" s="162">
        <v>2808.16</v>
      </c>
      <c r="H69" s="162">
        <v>425</v>
      </c>
      <c r="I69" s="161"/>
      <c r="J69" s="162">
        <v>680</v>
      </c>
      <c r="K69" s="162">
        <v>756</v>
      </c>
      <c r="L69" s="161"/>
      <c r="M69" s="161"/>
      <c r="N69" s="161"/>
      <c r="O69" s="162">
        <v>817</v>
      </c>
      <c r="P69" s="162">
        <v>1024.6600000000001</v>
      </c>
      <c r="Q69" s="161"/>
      <c r="R69" s="162">
        <v>6510.82</v>
      </c>
      <c r="S69" s="78"/>
      <c r="T69" s="161"/>
      <c r="U69" s="161"/>
      <c r="V69" s="161"/>
      <c r="W69" s="162">
        <v>285.13</v>
      </c>
      <c r="X69" s="161"/>
      <c r="Y69" s="161"/>
      <c r="Z69" s="162">
        <v>285.13</v>
      </c>
      <c r="AA69" s="76"/>
      <c r="AB69" s="180">
        <f t="shared" si="15"/>
        <v>4669.16</v>
      </c>
      <c r="AC69" s="224">
        <f t="shared" si="16"/>
        <v>-4384.03</v>
      </c>
      <c r="AD69" s="8">
        <f t="shared" si="17"/>
        <v>-0.93893334132906126</v>
      </c>
    </row>
    <row r="70" spans="1:30" x14ac:dyDescent="0.4">
      <c r="A70" s="74"/>
      <c r="B70" s="201" t="s">
        <v>153</v>
      </c>
      <c r="C70" s="164"/>
      <c r="D70" s="163"/>
      <c r="E70" s="202" t="s">
        <v>19</v>
      </c>
      <c r="F70" s="163"/>
      <c r="G70" s="164"/>
      <c r="H70" s="163"/>
      <c r="I70" s="164"/>
      <c r="J70" s="163"/>
      <c r="K70" s="163"/>
      <c r="L70" s="164"/>
      <c r="M70" s="164"/>
      <c r="N70" s="163">
        <v>2565.36</v>
      </c>
      <c r="O70" s="164"/>
      <c r="P70" s="163">
        <v>3000</v>
      </c>
      <c r="Q70" s="164"/>
      <c r="R70" s="163">
        <v>5565.36</v>
      </c>
      <c r="S70" s="78"/>
      <c r="T70" s="163">
        <v>3910</v>
      </c>
      <c r="U70" s="164"/>
      <c r="V70" s="164"/>
      <c r="W70" s="164"/>
      <c r="X70" s="164"/>
      <c r="Y70" s="164"/>
      <c r="Z70" s="163">
        <v>3910</v>
      </c>
      <c r="AA70" s="76"/>
      <c r="AB70" s="214">
        <f t="shared" si="15"/>
        <v>0</v>
      </c>
      <c r="AC70" s="11">
        <f t="shared" si="16"/>
        <v>3910</v>
      </c>
      <c r="AD70" s="12" t="e">
        <f t="shared" si="17"/>
        <v>#DIV/0!</v>
      </c>
    </row>
    <row r="71" spans="1:30" x14ac:dyDescent="0.4">
      <c r="A71" s="74"/>
      <c r="B71" s="201" t="s">
        <v>154</v>
      </c>
      <c r="C71" s="163">
        <v>421255.38</v>
      </c>
      <c r="D71" s="163">
        <v>35104.614999999998</v>
      </c>
      <c r="E71" s="202" t="s">
        <v>19</v>
      </c>
      <c r="F71" s="163">
        <v>42762.34</v>
      </c>
      <c r="G71" s="163">
        <v>44186.82</v>
      </c>
      <c r="H71" s="163">
        <v>37081.32</v>
      </c>
      <c r="I71" s="163">
        <v>36415.599999999999</v>
      </c>
      <c r="J71" s="163">
        <v>50527.3</v>
      </c>
      <c r="K71" s="163">
        <v>42349.53</v>
      </c>
      <c r="L71" s="163">
        <v>28916.959999999999</v>
      </c>
      <c r="M71" s="163">
        <v>45029.75</v>
      </c>
      <c r="N71" s="163">
        <v>38295.519999999997</v>
      </c>
      <c r="O71" s="163">
        <v>40288.75</v>
      </c>
      <c r="P71" s="163">
        <v>44701.93</v>
      </c>
      <c r="Q71" s="163">
        <v>23372.98</v>
      </c>
      <c r="R71" s="163">
        <v>473928.8</v>
      </c>
      <c r="S71" s="17"/>
      <c r="T71" s="163">
        <v>53101.33</v>
      </c>
      <c r="U71" s="163">
        <v>49854.83</v>
      </c>
      <c r="V71" s="163">
        <v>39870.720000000001</v>
      </c>
      <c r="W71" s="163">
        <v>31196.65</v>
      </c>
      <c r="X71" s="163">
        <v>50395.58</v>
      </c>
      <c r="Y71" s="163">
        <v>43466.7</v>
      </c>
      <c r="Z71" s="163">
        <v>267885.81</v>
      </c>
      <c r="AA71" s="76"/>
      <c r="AB71" s="163">
        <f>SUM(AB56:AB70)</f>
        <v>253322.91</v>
      </c>
      <c r="AC71" s="163">
        <f>SUM(AC56:AC70)</f>
        <v>14562.899999999998</v>
      </c>
      <c r="AD71" s="12">
        <f t="shared" ref="AD71:AD102" si="18">+AC71/AB71</f>
        <v>5.7487496886878479E-2</v>
      </c>
    </row>
    <row r="72" spans="1:30" x14ac:dyDescent="0.4">
      <c r="A72" s="74"/>
      <c r="B72" s="201"/>
      <c r="C72" s="161"/>
      <c r="D72" s="161"/>
      <c r="E72" s="202" t="s">
        <v>19</v>
      </c>
      <c r="F72" s="161"/>
      <c r="G72" s="161"/>
      <c r="H72" s="161"/>
      <c r="I72" s="161"/>
      <c r="J72" s="161"/>
      <c r="K72" s="161"/>
      <c r="L72" s="161"/>
      <c r="M72" s="161"/>
      <c r="N72" s="161"/>
      <c r="O72" s="161"/>
      <c r="P72" s="161"/>
      <c r="Q72" s="161"/>
      <c r="R72" s="161"/>
      <c r="S72" s="17"/>
      <c r="T72" s="161"/>
      <c r="U72" s="161"/>
      <c r="V72" s="161"/>
      <c r="W72" s="161"/>
      <c r="X72" s="161"/>
      <c r="Y72" s="161"/>
      <c r="Z72" s="161"/>
      <c r="AA72" s="76"/>
      <c r="AB72" s="161"/>
      <c r="AC72" s="4"/>
      <c r="AD72" s="5"/>
    </row>
    <row r="73" spans="1:30" x14ac:dyDescent="0.4">
      <c r="A73" s="74"/>
      <c r="B73" s="201" t="s">
        <v>59</v>
      </c>
      <c r="C73" s="161"/>
      <c r="D73" s="161"/>
      <c r="E73" s="202" t="s">
        <v>19</v>
      </c>
      <c r="F73" s="161"/>
      <c r="G73" s="161"/>
      <c r="H73" s="161"/>
      <c r="I73" s="161"/>
      <c r="J73" s="161"/>
      <c r="K73" s="161"/>
      <c r="L73" s="161"/>
      <c r="M73" s="161"/>
      <c r="N73" s="161"/>
      <c r="O73" s="161"/>
      <c r="P73" s="161"/>
      <c r="Q73" s="161"/>
      <c r="R73" s="161"/>
      <c r="S73" s="17"/>
      <c r="T73" s="161"/>
      <c r="U73" s="161"/>
      <c r="V73" s="161"/>
      <c r="W73" s="161"/>
      <c r="X73" s="161"/>
      <c r="Y73" s="161"/>
      <c r="Z73" s="161"/>
      <c r="AA73" s="76"/>
      <c r="AB73" s="161"/>
      <c r="AC73" s="4"/>
      <c r="AD73" s="5"/>
    </row>
    <row r="74" spans="1:30" x14ac:dyDescent="0.4">
      <c r="A74" s="74" t="s">
        <v>157</v>
      </c>
      <c r="B74" s="201" t="s">
        <v>158</v>
      </c>
      <c r="C74" s="162">
        <v>12374.34</v>
      </c>
      <c r="D74" s="162">
        <v>1031.1949999999999</v>
      </c>
      <c r="E74" s="202" t="s">
        <v>19</v>
      </c>
      <c r="F74" s="161"/>
      <c r="G74" s="161"/>
      <c r="H74" s="161"/>
      <c r="I74" s="161"/>
      <c r="J74" s="161"/>
      <c r="K74" s="161"/>
      <c r="L74" s="161"/>
      <c r="M74" s="161"/>
      <c r="N74" s="161"/>
      <c r="O74" s="161"/>
      <c r="P74" s="161"/>
      <c r="Q74" s="161"/>
      <c r="R74" s="161"/>
      <c r="S74" s="17"/>
      <c r="T74" s="161"/>
      <c r="U74" s="161"/>
      <c r="V74" s="161"/>
      <c r="W74" s="161"/>
      <c r="X74" s="161"/>
      <c r="Y74" s="161"/>
      <c r="Z74" s="161"/>
      <c r="AA74" s="79"/>
      <c r="AB74" s="180">
        <f>SUM(F74:K74)</f>
        <v>0</v>
      </c>
      <c r="AC74" s="224">
        <f>+Z74-AB74</f>
        <v>0</v>
      </c>
      <c r="AD74" s="8" t="e">
        <f t="shared" si="18"/>
        <v>#DIV/0!</v>
      </c>
    </row>
    <row r="75" spans="1:30" x14ac:dyDescent="0.4">
      <c r="A75" s="74"/>
      <c r="B75" s="201" t="s">
        <v>166</v>
      </c>
      <c r="C75" s="162">
        <v>4656.3</v>
      </c>
      <c r="D75" s="162">
        <v>388.02499999999998</v>
      </c>
      <c r="E75" s="202" t="s">
        <v>19</v>
      </c>
      <c r="F75" s="162">
        <v>300</v>
      </c>
      <c r="G75" s="162">
        <v>3169.46</v>
      </c>
      <c r="H75" s="162">
        <v>1739.53</v>
      </c>
      <c r="I75" s="162">
        <v>1211.75</v>
      </c>
      <c r="J75" s="161"/>
      <c r="K75" s="161"/>
      <c r="L75" s="161"/>
      <c r="M75" s="161"/>
      <c r="N75" s="162">
        <v>263.5</v>
      </c>
      <c r="O75" s="162">
        <v>5334</v>
      </c>
      <c r="P75" s="162">
        <v>5334</v>
      </c>
      <c r="Q75" s="162">
        <v>5334</v>
      </c>
      <c r="R75" s="162">
        <v>22686.240000000002</v>
      </c>
      <c r="S75" s="17"/>
      <c r="T75" s="162">
        <v>-3950.62</v>
      </c>
      <c r="U75" s="162">
        <v>-1560.89</v>
      </c>
      <c r="V75" s="162">
        <v>-1951.15</v>
      </c>
      <c r="W75" s="161"/>
      <c r="X75" s="162">
        <v>340.49</v>
      </c>
      <c r="Y75" s="162">
        <v>1913.03</v>
      </c>
      <c r="Z75" s="162">
        <v>-5209.1400000000003</v>
      </c>
      <c r="AA75" s="79"/>
      <c r="AB75" s="180">
        <f>SUM(F75:K75)</f>
        <v>6420.74</v>
      </c>
      <c r="AC75" s="224">
        <f t="shared" ref="AC75:AC77" si="19">+Z75-AB75</f>
        <v>-11629.880000000001</v>
      </c>
      <c r="AD75" s="8">
        <f t="shared" ref="AD75:AD77" si="20">+AC75/AB75</f>
        <v>-1.8112990091484784</v>
      </c>
    </row>
    <row r="76" spans="1:30" x14ac:dyDescent="0.4">
      <c r="A76" s="74" t="s">
        <v>165</v>
      </c>
      <c r="B76" s="201" t="s">
        <v>172</v>
      </c>
      <c r="C76" s="162">
        <v>72598.28</v>
      </c>
      <c r="D76" s="162">
        <v>6049.8566666666666</v>
      </c>
      <c r="E76" s="202" t="s">
        <v>19</v>
      </c>
      <c r="F76" s="162">
        <v>5991.08</v>
      </c>
      <c r="G76" s="162">
        <v>5761.08</v>
      </c>
      <c r="H76" s="162">
        <v>5761.08</v>
      </c>
      <c r="I76" s="162">
        <v>5761.08</v>
      </c>
      <c r="J76" s="162">
        <v>5761.08</v>
      </c>
      <c r="K76" s="162">
        <v>5761.08</v>
      </c>
      <c r="L76" s="162">
        <v>5761.08</v>
      </c>
      <c r="M76" s="161"/>
      <c r="N76" s="162">
        <v>5761.08</v>
      </c>
      <c r="O76" s="162">
        <v>5761.08</v>
      </c>
      <c r="P76" s="162">
        <v>5761.08</v>
      </c>
      <c r="Q76" s="162">
        <v>5761.08</v>
      </c>
      <c r="R76" s="162">
        <v>63601.88</v>
      </c>
      <c r="S76" s="78"/>
      <c r="T76" s="161"/>
      <c r="U76" s="162">
        <v>5761.08</v>
      </c>
      <c r="V76" s="162">
        <v>5761.08</v>
      </c>
      <c r="W76" s="162">
        <v>5761.08</v>
      </c>
      <c r="X76" s="162">
        <v>11522.16</v>
      </c>
      <c r="Y76" s="161"/>
      <c r="Z76" s="162">
        <v>28805.4</v>
      </c>
      <c r="AA76" s="17"/>
      <c r="AB76" s="180">
        <f>SUM(F76:K76)</f>
        <v>34796.480000000003</v>
      </c>
      <c r="AC76" s="224">
        <f t="shared" si="19"/>
        <v>-5991.0800000000017</v>
      </c>
      <c r="AD76" s="8">
        <f t="shared" si="20"/>
        <v>-0.17217488665520195</v>
      </c>
    </row>
    <row r="77" spans="1:30" x14ac:dyDescent="0.4">
      <c r="A77" s="74" t="s">
        <v>171</v>
      </c>
      <c r="B77" s="201" t="s">
        <v>174</v>
      </c>
      <c r="C77" s="163">
        <v>20302.57</v>
      </c>
      <c r="D77" s="163">
        <v>1691.8808333333334</v>
      </c>
      <c r="E77" s="202" t="s">
        <v>19</v>
      </c>
      <c r="F77" s="163">
        <v>3308.48</v>
      </c>
      <c r="G77" s="163">
        <v>2992.12</v>
      </c>
      <c r="H77" s="163">
        <v>3428.27</v>
      </c>
      <c r="I77" s="163">
        <v>5322.68</v>
      </c>
      <c r="J77" s="163">
        <v>746.72</v>
      </c>
      <c r="K77" s="164"/>
      <c r="L77" s="163">
        <v>1291.8499999999999</v>
      </c>
      <c r="M77" s="163">
        <v>9141.7800000000007</v>
      </c>
      <c r="N77" s="163">
        <v>3765.07</v>
      </c>
      <c r="O77" s="164"/>
      <c r="P77" s="164"/>
      <c r="Q77" s="164"/>
      <c r="R77" s="163">
        <v>29996.97</v>
      </c>
      <c r="S77" s="78"/>
      <c r="T77" s="163">
        <v>3724.9</v>
      </c>
      <c r="U77" s="164"/>
      <c r="V77" s="163">
        <v>3510.11</v>
      </c>
      <c r="W77" s="164"/>
      <c r="X77" s="163">
        <v>7494.32</v>
      </c>
      <c r="Y77" s="163">
        <v>3477.55</v>
      </c>
      <c r="Z77" s="163">
        <v>18206.88</v>
      </c>
      <c r="AA77" s="76"/>
      <c r="AB77" s="214">
        <f>SUM(F77:K77)</f>
        <v>15798.27</v>
      </c>
      <c r="AC77" s="11">
        <f t="shared" si="19"/>
        <v>2408.6100000000006</v>
      </c>
      <c r="AD77" s="12">
        <f t="shared" si="20"/>
        <v>0.15246036433103122</v>
      </c>
    </row>
    <row r="78" spans="1:30" x14ac:dyDescent="0.4">
      <c r="A78" s="74" t="s">
        <v>173</v>
      </c>
      <c r="B78" s="201" t="s">
        <v>175</v>
      </c>
      <c r="C78" s="163">
        <v>109931.49</v>
      </c>
      <c r="D78" s="163">
        <v>9160.9575000000004</v>
      </c>
      <c r="E78" s="202" t="s">
        <v>19</v>
      </c>
      <c r="F78" s="163">
        <v>9599.56</v>
      </c>
      <c r="G78" s="163">
        <v>11922.66</v>
      </c>
      <c r="H78" s="163">
        <v>10928.88</v>
      </c>
      <c r="I78" s="163">
        <v>12295.51</v>
      </c>
      <c r="J78" s="163">
        <v>6507.8</v>
      </c>
      <c r="K78" s="163">
        <v>5761.08</v>
      </c>
      <c r="L78" s="163">
        <v>7052.93</v>
      </c>
      <c r="M78" s="163">
        <v>9141.7800000000007</v>
      </c>
      <c r="N78" s="163">
        <v>9789.65</v>
      </c>
      <c r="O78" s="163">
        <v>11095.08</v>
      </c>
      <c r="P78" s="163">
        <v>11095.08</v>
      </c>
      <c r="Q78" s="163">
        <v>11095.08</v>
      </c>
      <c r="R78" s="163">
        <v>116285.09</v>
      </c>
      <c r="S78" s="17"/>
      <c r="T78" s="163">
        <v>-225.72</v>
      </c>
      <c r="U78" s="163">
        <v>4200.1899999999996</v>
      </c>
      <c r="V78" s="163">
        <v>7320.04</v>
      </c>
      <c r="W78" s="163">
        <v>5761.08</v>
      </c>
      <c r="X78" s="163">
        <v>19356.97</v>
      </c>
      <c r="Y78" s="163">
        <v>5390.58</v>
      </c>
      <c r="Z78" s="163">
        <v>41803.14</v>
      </c>
      <c r="AA78" s="76"/>
      <c r="AB78" s="163">
        <f>SUM(AB74:AB77)</f>
        <v>57015.490000000005</v>
      </c>
      <c r="AC78" s="163">
        <f>SUM(AC74:AC77)</f>
        <v>-15212.350000000002</v>
      </c>
      <c r="AD78" s="12">
        <f t="shared" si="18"/>
        <v>-0.26681082632105768</v>
      </c>
    </row>
    <row r="79" spans="1:30" x14ac:dyDescent="0.4">
      <c r="A79" s="74"/>
      <c r="B79" s="201"/>
      <c r="C79" s="161"/>
      <c r="D79" s="161"/>
      <c r="E79" s="202" t="s">
        <v>19</v>
      </c>
      <c r="F79" s="161"/>
      <c r="G79" s="161"/>
      <c r="H79" s="161"/>
      <c r="I79" s="161"/>
      <c r="J79" s="161"/>
      <c r="K79" s="161"/>
      <c r="L79" s="161"/>
      <c r="M79" s="161"/>
      <c r="N79" s="161"/>
      <c r="O79" s="161"/>
      <c r="P79" s="161"/>
      <c r="Q79" s="161"/>
      <c r="R79" s="161"/>
      <c r="S79" s="17"/>
      <c r="T79" s="161"/>
      <c r="U79" s="161"/>
      <c r="V79" s="161"/>
      <c r="W79" s="161"/>
      <c r="X79" s="161"/>
      <c r="Y79" s="161"/>
      <c r="Z79" s="161"/>
      <c r="AA79" s="76"/>
      <c r="AB79" s="161"/>
      <c r="AC79" s="4"/>
      <c r="AD79" s="5"/>
    </row>
    <row r="80" spans="1:30" x14ac:dyDescent="0.4">
      <c r="A80" s="74"/>
      <c r="B80" s="201" t="s">
        <v>60</v>
      </c>
      <c r="C80" s="161"/>
      <c r="D80" s="161"/>
      <c r="E80" s="202" t="s">
        <v>19</v>
      </c>
      <c r="F80" s="161"/>
      <c r="G80" s="161"/>
      <c r="H80" s="161"/>
      <c r="I80" s="161"/>
      <c r="J80" s="161"/>
      <c r="K80" s="161"/>
      <c r="L80" s="161"/>
      <c r="M80" s="161"/>
      <c r="N80" s="161"/>
      <c r="O80" s="161"/>
      <c r="P80" s="161"/>
      <c r="Q80" s="161"/>
      <c r="R80" s="161"/>
      <c r="S80" s="78"/>
      <c r="T80" s="161"/>
      <c r="U80" s="161"/>
      <c r="V80" s="161"/>
      <c r="W80" s="161"/>
      <c r="X80" s="161"/>
      <c r="Y80" s="161"/>
      <c r="Z80" s="161"/>
      <c r="AA80" s="76"/>
      <c r="AB80" s="161"/>
      <c r="AC80" s="4"/>
      <c r="AD80" s="5"/>
    </row>
    <row r="81" spans="1:30" x14ac:dyDescent="0.4">
      <c r="A81" s="74"/>
      <c r="B81" s="201" t="s">
        <v>177</v>
      </c>
      <c r="C81" s="162">
        <v>4070.68</v>
      </c>
      <c r="D81" s="162">
        <v>339.2233333333333</v>
      </c>
      <c r="E81" s="202" t="s">
        <v>19</v>
      </c>
      <c r="F81" s="161"/>
      <c r="G81" s="161"/>
      <c r="H81" s="161"/>
      <c r="I81" s="161"/>
      <c r="J81" s="161"/>
      <c r="K81" s="161"/>
      <c r="L81" s="161"/>
      <c r="M81" s="161"/>
      <c r="N81" s="161"/>
      <c r="O81" s="161"/>
      <c r="P81" s="161"/>
      <c r="Q81" s="161"/>
      <c r="R81" s="161"/>
      <c r="S81" s="78"/>
      <c r="T81" s="161"/>
      <c r="U81" s="161"/>
      <c r="V81" s="161"/>
      <c r="W81" s="161"/>
      <c r="X81" s="161"/>
      <c r="Y81" s="161"/>
      <c r="Z81" s="161"/>
      <c r="AA81" s="76"/>
      <c r="AB81" s="180">
        <f>SUM(F81:K81)</f>
        <v>0</v>
      </c>
      <c r="AC81" s="224">
        <f>+Z81-AB81</f>
        <v>0</v>
      </c>
      <c r="AD81" s="8" t="e">
        <f t="shared" si="18"/>
        <v>#DIV/0!</v>
      </c>
    </row>
    <row r="82" spans="1:30" x14ac:dyDescent="0.4">
      <c r="A82" s="74" t="s">
        <v>176</v>
      </c>
      <c r="B82" s="201" t="s">
        <v>185</v>
      </c>
      <c r="C82" s="162">
        <v>1212.76</v>
      </c>
      <c r="D82" s="162">
        <v>101.0633333333333</v>
      </c>
      <c r="E82" s="202" t="s">
        <v>19</v>
      </c>
      <c r="F82" s="161"/>
      <c r="G82" s="161"/>
      <c r="H82" s="161"/>
      <c r="I82" s="161"/>
      <c r="J82" s="161"/>
      <c r="K82" s="161"/>
      <c r="L82" s="161"/>
      <c r="M82" s="161"/>
      <c r="N82" s="161"/>
      <c r="O82" s="162">
        <v>159.88999999999999</v>
      </c>
      <c r="P82" s="162">
        <v>221.31</v>
      </c>
      <c r="Q82" s="162">
        <v>1292</v>
      </c>
      <c r="R82" s="162">
        <v>1673.2</v>
      </c>
      <c r="S82" s="17"/>
      <c r="T82" s="162">
        <v>2236.96</v>
      </c>
      <c r="U82" s="162">
        <v>74.989999999999995</v>
      </c>
      <c r="V82" s="162">
        <v>2081.1</v>
      </c>
      <c r="W82" s="161"/>
      <c r="X82" s="162">
        <v>1268.02</v>
      </c>
      <c r="Y82" s="162">
        <v>201.23</v>
      </c>
      <c r="Z82" s="162">
        <v>5862.3</v>
      </c>
      <c r="AA82" s="76"/>
      <c r="AB82" s="180">
        <f>SUM(F82:K82)</f>
        <v>0</v>
      </c>
      <c r="AC82" s="224">
        <f t="shared" ref="AC82:AC85" si="21">+Z82-AB82</f>
        <v>5862.3</v>
      </c>
      <c r="AD82" s="8" t="e">
        <f t="shared" ref="AD82:AD85" si="22">+AC82/AB82</f>
        <v>#DIV/0!</v>
      </c>
    </row>
    <row r="83" spans="1:30" x14ac:dyDescent="0.4">
      <c r="A83" s="74" t="s">
        <v>184</v>
      </c>
      <c r="B83" s="201" t="s">
        <v>193</v>
      </c>
      <c r="C83" s="162">
        <v>24427.55</v>
      </c>
      <c r="D83" s="162">
        <v>2035.6291666666666</v>
      </c>
      <c r="E83" s="202" t="s">
        <v>19</v>
      </c>
      <c r="F83" s="161"/>
      <c r="G83" s="161"/>
      <c r="H83" s="161"/>
      <c r="I83" s="161"/>
      <c r="J83" s="162">
        <v>446.84</v>
      </c>
      <c r="K83" s="162">
        <v>367.17</v>
      </c>
      <c r="L83" s="162">
        <v>500</v>
      </c>
      <c r="M83" s="161"/>
      <c r="N83" s="162">
        <v>2050</v>
      </c>
      <c r="O83" s="161"/>
      <c r="P83" s="162">
        <v>423.75</v>
      </c>
      <c r="Q83" s="162">
        <v>12200</v>
      </c>
      <c r="R83" s="162">
        <v>15987.76</v>
      </c>
      <c r="S83" s="17"/>
      <c r="T83" s="162">
        <v>1355.4</v>
      </c>
      <c r="U83" s="162">
        <v>8270</v>
      </c>
      <c r="V83" s="161"/>
      <c r="W83" s="161"/>
      <c r="X83" s="162">
        <v>1447.44</v>
      </c>
      <c r="Y83" s="162">
        <v>26323.64</v>
      </c>
      <c r="Z83" s="162">
        <v>37396.480000000003</v>
      </c>
      <c r="AA83" s="79"/>
      <c r="AB83" s="180">
        <f>SUM(F83:K83)</f>
        <v>814.01</v>
      </c>
      <c r="AC83" s="224">
        <f t="shared" si="21"/>
        <v>36582.47</v>
      </c>
      <c r="AD83" s="8">
        <f t="shared" si="22"/>
        <v>44.941057235169104</v>
      </c>
    </row>
    <row r="84" spans="1:30" x14ac:dyDescent="0.4">
      <c r="A84" s="74" t="s">
        <v>186</v>
      </c>
      <c r="B84" s="201" t="s">
        <v>195</v>
      </c>
      <c r="C84" s="162">
        <v>27.59</v>
      </c>
      <c r="D84" s="162">
        <v>2.2991666666667001</v>
      </c>
      <c r="E84" s="202" t="s">
        <v>19</v>
      </c>
      <c r="F84" s="161"/>
      <c r="G84" s="161"/>
      <c r="H84" s="161"/>
      <c r="I84" s="161"/>
      <c r="J84" s="162">
        <v>300</v>
      </c>
      <c r="K84" s="161"/>
      <c r="L84" s="161"/>
      <c r="M84" s="161"/>
      <c r="N84" s="161"/>
      <c r="O84" s="161"/>
      <c r="P84" s="161"/>
      <c r="Q84" s="161"/>
      <c r="R84" s="162">
        <v>300</v>
      </c>
      <c r="S84" s="17"/>
      <c r="T84" s="161"/>
      <c r="U84" s="161"/>
      <c r="V84" s="161"/>
      <c r="W84" s="161"/>
      <c r="X84" s="161"/>
      <c r="Y84" s="161"/>
      <c r="Z84" s="161"/>
      <c r="AA84" s="79"/>
      <c r="AB84" s="180">
        <f>SUM(F84:K84)</f>
        <v>300</v>
      </c>
      <c r="AC84" s="224">
        <f t="shared" si="21"/>
        <v>-300</v>
      </c>
      <c r="AD84" s="8">
        <f t="shared" si="22"/>
        <v>-1</v>
      </c>
    </row>
    <row r="85" spans="1:30" x14ac:dyDescent="0.4">
      <c r="A85" s="74" t="s">
        <v>190</v>
      </c>
      <c r="B85" s="201" t="s">
        <v>199</v>
      </c>
      <c r="C85" s="163">
        <v>5.29</v>
      </c>
      <c r="D85" s="163">
        <v>0.44083333333329999</v>
      </c>
      <c r="E85" s="202" t="s">
        <v>19</v>
      </c>
      <c r="F85" s="164"/>
      <c r="G85" s="164"/>
      <c r="H85" s="164"/>
      <c r="I85" s="164"/>
      <c r="J85" s="164"/>
      <c r="K85" s="164"/>
      <c r="L85" s="164"/>
      <c r="M85" s="164"/>
      <c r="N85" s="164"/>
      <c r="O85" s="164"/>
      <c r="P85" s="164"/>
      <c r="Q85" s="164"/>
      <c r="R85" s="164"/>
      <c r="S85" s="17"/>
      <c r="T85" s="163">
        <v>5588</v>
      </c>
      <c r="U85" s="163">
        <v>7489.37</v>
      </c>
      <c r="V85" s="164"/>
      <c r="W85" s="164"/>
      <c r="X85" s="164"/>
      <c r="Y85" s="163">
        <v>10335.1</v>
      </c>
      <c r="Z85" s="163">
        <v>23412.47</v>
      </c>
      <c r="AA85" s="76"/>
      <c r="AB85" s="214">
        <f>SUM(F85:K85)</f>
        <v>0</v>
      </c>
      <c r="AC85" s="11">
        <f t="shared" si="21"/>
        <v>23412.47</v>
      </c>
      <c r="AD85" s="12" t="e">
        <f t="shared" si="22"/>
        <v>#DIV/0!</v>
      </c>
    </row>
    <row r="86" spans="1:30" x14ac:dyDescent="0.4">
      <c r="A86" s="74" t="s">
        <v>192</v>
      </c>
      <c r="B86" s="201" t="s">
        <v>200</v>
      </c>
      <c r="C86" s="163">
        <v>29743.87</v>
      </c>
      <c r="D86" s="163">
        <v>2478.6558333333332</v>
      </c>
      <c r="E86" s="202" t="s">
        <v>19</v>
      </c>
      <c r="F86" s="163"/>
      <c r="G86" s="163"/>
      <c r="H86" s="163"/>
      <c r="I86" s="163"/>
      <c r="J86" s="163">
        <v>746.84</v>
      </c>
      <c r="K86" s="163">
        <v>367.17</v>
      </c>
      <c r="L86" s="163">
        <v>500</v>
      </c>
      <c r="M86" s="163"/>
      <c r="N86" s="163">
        <v>2050</v>
      </c>
      <c r="O86" s="163">
        <v>159.88999999999999</v>
      </c>
      <c r="P86" s="163">
        <v>645.05999999999995</v>
      </c>
      <c r="Q86" s="163">
        <v>13492</v>
      </c>
      <c r="R86" s="163">
        <v>17960.96</v>
      </c>
      <c r="S86" s="78"/>
      <c r="T86" s="163">
        <v>9180.36</v>
      </c>
      <c r="U86" s="163">
        <v>15834.36</v>
      </c>
      <c r="V86" s="163">
        <v>2081.1</v>
      </c>
      <c r="W86" s="163"/>
      <c r="X86" s="163">
        <v>2715.46</v>
      </c>
      <c r="Y86" s="163">
        <v>36859.97</v>
      </c>
      <c r="Z86" s="163">
        <v>66671.25</v>
      </c>
      <c r="AA86" s="76"/>
      <c r="AB86" s="163">
        <f>SUM(AB81:AB85)</f>
        <v>1114.01</v>
      </c>
      <c r="AC86" s="163">
        <f>SUM(AC81:AC85)</f>
        <v>65557.240000000005</v>
      </c>
      <c r="AD86" s="12">
        <f t="shared" si="18"/>
        <v>58.847981615963953</v>
      </c>
    </row>
    <row r="87" spans="1:30" x14ac:dyDescent="0.4">
      <c r="A87" s="74" t="s">
        <v>194</v>
      </c>
      <c r="B87" s="201"/>
      <c r="C87" s="161"/>
      <c r="D87" s="161"/>
      <c r="E87" s="202" t="s">
        <v>19</v>
      </c>
      <c r="F87" s="161"/>
      <c r="G87" s="161"/>
      <c r="H87" s="161"/>
      <c r="I87" s="161"/>
      <c r="J87" s="161"/>
      <c r="K87" s="161"/>
      <c r="L87" s="161"/>
      <c r="M87" s="161"/>
      <c r="N87" s="161"/>
      <c r="O87" s="161"/>
      <c r="P87" s="161"/>
      <c r="Q87" s="161"/>
      <c r="R87" s="161"/>
      <c r="S87" s="78"/>
      <c r="T87" s="161"/>
      <c r="U87" s="161"/>
      <c r="V87" s="161"/>
      <c r="W87" s="161"/>
      <c r="X87" s="161"/>
      <c r="Y87" s="161"/>
      <c r="Z87" s="161"/>
      <c r="AA87" s="17"/>
      <c r="AB87" s="161"/>
      <c r="AC87" s="4"/>
      <c r="AD87" s="5"/>
    </row>
    <row r="88" spans="1:30" x14ac:dyDescent="0.4">
      <c r="A88" s="74" t="s">
        <v>198</v>
      </c>
      <c r="B88" s="201" t="s">
        <v>201</v>
      </c>
      <c r="C88" s="161"/>
      <c r="D88" s="161"/>
      <c r="E88" s="202" t="s">
        <v>19</v>
      </c>
      <c r="F88" s="161"/>
      <c r="G88" s="161"/>
      <c r="H88" s="161"/>
      <c r="I88" s="161"/>
      <c r="J88" s="161"/>
      <c r="K88" s="161"/>
      <c r="L88" s="161"/>
      <c r="M88" s="161"/>
      <c r="N88" s="161"/>
      <c r="O88" s="161"/>
      <c r="P88" s="161"/>
      <c r="Q88" s="161"/>
      <c r="R88" s="161"/>
      <c r="S88" s="17"/>
      <c r="T88" s="161"/>
      <c r="U88" s="161"/>
      <c r="V88" s="161"/>
      <c r="W88" s="161"/>
      <c r="X88" s="161"/>
      <c r="Y88" s="161"/>
      <c r="Z88" s="161"/>
      <c r="AA88" s="17"/>
      <c r="AB88" s="161"/>
      <c r="AC88" s="4"/>
      <c r="AD88" s="5"/>
    </row>
    <row r="89" spans="1:30" x14ac:dyDescent="0.4">
      <c r="A89" s="74"/>
      <c r="B89" s="201" t="s">
        <v>203</v>
      </c>
      <c r="C89" s="163">
        <v>4733.55</v>
      </c>
      <c r="D89" s="163">
        <v>394.46249999999998</v>
      </c>
      <c r="E89" s="202" t="s">
        <v>19</v>
      </c>
      <c r="F89" s="163">
        <v>279.41000000000003</v>
      </c>
      <c r="G89" s="163">
        <v>347.29</v>
      </c>
      <c r="H89" s="163">
        <v>813.03</v>
      </c>
      <c r="I89" s="163">
        <v>1242.98</v>
      </c>
      <c r="J89" s="163">
        <v>910.08</v>
      </c>
      <c r="K89" s="163">
        <v>554.59</v>
      </c>
      <c r="L89" s="164"/>
      <c r="M89" s="163">
        <v>212.56</v>
      </c>
      <c r="N89" s="163">
        <v>62.68</v>
      </c>
      <c r="O89" s="163">
        <v>143.47999999999999</v>
      </c>
      <c r="P89" s="163">
        <v>340.88</v>
      </c>
      <c r="Q89" s="163">
        <v>130.47</v>
      </c>
      <c r="R89" s="163">
        <v>5037.45</v>
      </c>
      <c r="S89" s="17"/>
      <c r="T89" s="163">
        <v>109.63</v>
      </c>
      <c r="U89" s="163">
        <v>263.8</v>
      </c>
      <c r="V89" s="163">
        <v>218.36</v>
      </c>
      <c r="W89" s="163">
        <v>107.84</v>
      </c>
      <c r="X89" s="163">
        <v>334.88</v>
      </c>
      <c r="Y89" s="163">
        <v>639.91</v>
      </c>
      <c r="Z89" s="163">
        <v>1674.42</v>
      </c>
      <c r="AA89" s="76"/>
      <c r="AB89" s="163">
        <f>SUM(F89:K89)</f>
        <v>4147.38</v>
      </c>
      <c r="AC89" s="11">
        <f>+Z89-AB89</f>
        <v>-2472.96</v>
      </c>
      <c r="AD89" s="5">
        <f t="shared" si="18"/>
        <v>-0.59627041650391333</v>
      </c>
    </row>
    <row r="90" spans="1:30" x14ac:dyDescent="0.4">
      <c r="A90" s="74"/>
      <c r="B90" s="201" t="s">
        <v>206</v>
      </c>
      <c r="C90" s="163">
        <v>4733.55</v>
      </c>
      <c r="D90" s="163">
        <v>394.46249999999998</v>
      </c>
      <c r="E90" s="202" t="s">
        <v>19</v>
      </c>
      <c r="F90" s="163">
        <v>279.41000000000003</v>
      </c>
      <c r="G90" s="163">
        <v>347.29</v>
      </c>
      <c r="H90" s="163">
        <v>813.03</v>
      </c>
      <c r="I90" s="163">
        <v>1242.98</v>
      </c>
      <c r="J90" s="163">
        <v>910.08</v>
      </c>
      <c r="K90" s="163">
        <v>554.59</v>
      </c>
      <c r="L90" s="163"/>
      <c r="M90" s="163">
        <v>212.56</v>
      </c>
      <c r="N90" s="163">
        <v>62.68</v>
      </c>
      <c r="O90" s="163">
        <v>143.47999999999999</v>
      </c>
      <c r="P90" s="163">
        <v>340.88</v>
      </c>
      <c r="Q90" s="163">
        <v>130.47</v>
      </c>
      <c r="R90" s="163">
        <v>5037.45</v>
      </c>
      <c r="S90" s="78"/>
      <c r="T90" s="163">
        <v>109.63</v>
      </c>
      <c r="U90" s="163">
        <v>263.8</v>
      </c>
      <c r="V90" s="163">
        <v>218.36</v>
      </c>
      <c r="W90" s="163">
        <v>107.84</v>
      </c>
      <c r="X90" s="163">
        <v>334.88</v>
      </c>
      <c r="Y90" s="163">
        <v>639.91</v>
      </c>
      <c r="Z90" s="163">
        <v>1674.42</v>
      </c>
      <c r="AA90" s="17"/>
      <c r="AB90" s="163">
        <f>SUM(AB89)</f>
        <v>4147.38</v>
      </c>
      <c r="AC90" s="163">
        <f>SUM(AC89)</f>
        <v>-2472.96</v>
      </c>
      <c r="AD90" s="10">
        <f t="shared" si="18"/>
        <v>-0.59627041650391333</v>
      </c>
    </row>
    <row r="91" spans="1:30" x14ac:dyDescent="0.4">
      <c r="A91" s="74"/>
      <c r="B91" s="201"/>
      <c r="C91" s="161"/>
      <c r="D91" s="161"/>
      <c r="E91" s="202" t="s">
        <v>19</v>
      </c>
      <c r="F91" s="161"/>
      <c r="G91" s="161"/>
      <c r="H91" s="161"/>
      <c r="I91" s="161"/>
      <c r="J91" s="161"/>
      <c r="K91" s="161"/>
      <c r="L91" s="161"/>
      <c r="M91" s="161"/>
      <c r="N91" s="161"/>
      <c r="O91" s="161"/>
      <c r="P91" s="161"/>
      <c r="Q91" s="161"/>
      <c r="R91" s="161"/>
      <c r="S91" s="17"/>
      <c r="T91" s="161"/>
      <c r="U91" s="161"/>
      <c r="V91" s="161"/>
      <c r="W91" s="161"/>
      <c r="X91" s="161"/>
      <c r="Y91" s="161"/>
      <c r="Z91" s="161"/>
      <c r="AA91" s="76"/>
      <c r="AB91" s="161"/>
      <c r="AC91" s="4"/>
      <c r="AD91" s="5"/>
    </row>
    <row r="92" spans="1:30" x14ac:dyDescent="0.4">
      <c r="A92" s="74" t="s">
        <v>202</v>
      </c>
      <c r="B92" s="201" t="s">
        <v>207</v>
      </c>
      <c r="C92" s="163">
        <v>1282712.08</v>
      </c>
      <c r="D92" s="163">
        <v>106892.67333333334</v>
      </c>
      <c r="E92" s="202" t="s">
        <v>19</v>
      </c>
      <c r="F92" s="163">
        <v>108425.16</v>
      </c>
      <c r="G92" s="163">
        <v>110238.38</v>
      </c>
      <c r="H92" s="163">
        <v>105497.71</v>
      </c>
      <c r="I92" s="163">
        <v>105700.77</v>
      </c>
      <c r="J92" s="163">
        <v>118446.07</v>
      </c>
      <c r="K92" s="163">
        <v>110567.05</v>
      </c>
      <c r="L92" s="163">
        <v>91066.3</v>
      </c>
      <c r="M92" s="163">
        <v>114608.32000000001</v>
      </c>
      <c r="N92" s="163">
        <v>105042.84</v>
      </c>
      <c r="O92" s="163">
        <v>115922.74</v>
      </c>
      <c r="P92" s="163">
        <v>115030.66</v>
      </c>
      <c r="Q92" s="163">
        <v>101052.73</v>
      </c>
      <c r="R92" s="163">
        <v>1301598.73</v>
      </c>
      <c r="S92" s="78"/>
      <c r="T92" s="163">
        <v>111222.72</v>
      </c>
      <c r="U92" s="163">
        <v>125755.7</v>
      </c>
      <c r="V92" s="163">
        <v>107818.02</v>
      </c>
      <c r="W92" s="163">
        <v>91190.94</v>
      </c>
      <c r="X92" s="163">
        <v>126879</v>
      </c>
      <c r="Y92" s="163">
        <v>138406.42000000001</v>
      </c>
      <c r="Z92" s="163">
        <v>701272.8</v>
      </c>
      <c r="AA92" s="76"/>
      <c r="AB92" s="163">
        <f>SUM(F92:K92)</f>
        <v>658875.14000000013</v>
      </c>
      <c r="AC92" s="11">
        <f>+Z92-AB92</f>
        <v>42397.659999999916</v>
      </c>
      <c r="AD92" s="12">
        <f t="shared" si="18"/>
        <v>6.4348550166879737E-2</v>
      </c>
    </row>
    <row r="93" spans="1:30" x14ac:dyDescent="0.4">
      <c r="A93" s="74"/>
      <c r="B93" s="201"/>
      <c r="C93" s="161"/>
      <c r="D93" s="161"/>
      <c r="E93" s="202" t="s">
        <v>19</v>
      </c>
      <c r="F93" s="161"/>
      <c r="G93" s="161"/>
      <c r="H93" s="161"/>
      <c r="I93" s="161"/>
      <c r="J93" s="161"/>
      <c r="K93" s="161"/>
      <c r="L93" s="161"/>
      <c r="M93" s="161"/>
      <c r="N93" s="161"/>
      <c r="O93" s="161"/>
      <c r="P93" s="161"/>
      <c r="Q93" s="161"/>
      <c r="R93" s="161"/>
      <c r="S93" s="78"/>
      <c r="T93" s="161"/>
      <c r="U93" s="161"/>
      <c r="V93" s="161"/>
      <c r="W93" s="161"/>
      <c r="X93" s="161"/>
      <c r="Y93" s="161"/>
      <c r="Z93" s="161"/>
      <c r="AA93" s="79"/>
      <c r="AB93" s="161"/>
      <c r="AC93" s="4"/>
      <c r="AD93" s="5"/>
    </row>
    <row r="94" spans="1:30" x14ac:dyDescent="0.4">
      <c r="A94" s="74"/>
      <c r="B94" s="201" t="s">
        <v>70</v>
      </c>
      <c r="C94" s="161"/>
      <c r="D94" s="161"/>
      <c r="E94" s="202" t="s">
        <v>19</v>
      </c>
      <c r="F94" s="161"/>
      <c r="G94" s="161"/>
      <c r="H94" s="161"/>
      <c r="I94" s="161"/>
      <c r="J94" s="161"/>
      <c r="K94" s="161"/>
      <c r="L94" s="161"/>
      <c r="M94" s="161"/>
      <c r="N94" s="161"/>
      <c r="O94" s="161"/>
      <c r="P94" s="161"/>
      <c r="Q94" s="161"/>
      <c r="R94" s="161"/>
      <c r="S94" s="17"/>
      <c r="T94" s="161"/>
      <c r="U94" s="161"/>
      <c r="V94" s="161"/>
      <c r="W94" s="161"/>
      <c r="X94" s="161"/>
      <c r="Y94" s="161"/>
      <c r="Z94" s="161"/>
      <c r="AA94" s="17"/>
      <c r="AB94" s="161"/>
      <c r="AC94" s="4"/>
      <c r="AD94" s="5"/>
    </row>
    <row r="95" spans="1:30" x14ac:dyDescent="0.4">
      <c r="A95" s="74"/>
      <c r="B95" s="201" t="s">
        <v>67</v>
      </c>
      <c r="C95" s="162">
        <v>183684</v>
      </c>
      <c r="D95" s="162">
        <v>15307</v>
      </c>
      <c r="E95" s="202" t="s">
        <v>19</v>
      </c>
      <c r="F95" s="162">
        <v>15307</v>
      </c>
      <c r="G95" s="162">
        <v>15307</v>
      </c>
      <c r="H95" s="162">
        <v>15307</v>
      </c>
      <c r="I95" s="162">
        <v>15307</v>
      </c>
      <c r="J95" s="162">
        <v>15307</v>
      </c>
      <c r="K95" s="162">
        <v>15307</v>
      </c>
      <c r="L95" s="162">
        <v>15307</v>
      </c>
      <c r="M95" s="162">
        <v>15307</v>
      </c>
      <c r="N95" s="162">
        <v>15307</v>
      </c>
      <c r="O95" s="162">
        <v>15307</v>
      </c>
      <c r="P95" s="162">
        <v>15307</v>
      </c>
      <c r="Q95" s="162">
        <v>15307</v>
      </c>
      <c r="R95" s="162">
        <v>183684</v>
      </c>
      <c r="S95" s="17"/>
      <c r="T95" s="162">
        <v>15307</v>
      </c>
      <c r="U95" s="162">
        <v>15307</v>
      </c>
      <c r="V95" s="162">
        <v>15307</v>
      </c>
      <c r="W95" s="162">
        <v>15307</v>
      </c>
      <c r="X95" s="162">
        <v>15307</v>
      </c>
      <c r="Y95" s="162">
        <v>15307</v>
      </c>
      <c r="Z95" s="162">
        <f>SUM(T95:Y95)</f>
        <v>91842</v>
      </c>
      <c r="AA95" s="17"/>
      <c r="AB95" s="180">
        <f>SUM(F95:K95)</f>
        <v>91842</v>
      </c>
      <c r="AC95" s="224">
        <f>+Z95-AB95</f>
        <v>0</v>
      </c>
      <c r="AD95" s="8">
        <f t="shared" si="18"/>
        <v>0</v>
      </c>
    </row>
    <row r="96" spans="1:30" x14ac:dyDescent="0.4">
      <c r="A96" s="74"/>
      <c r="B96" s="201" t="s">
        <v>69</v>
      </c>
      <c r="C96" s="163">
        <v>24492</v>
      </c>
      <c r="D96" s="163">
        <v>2041</v>
      </c>
      <c r="E96" s="202" t="s">
        <v>19</v>
      </c>
      <c r="F96" s="163">
        <v>2041</v>
      </c>
      <c r="G96" s="163">
        <v>2041</v>
      </c>
      <c r="H96" s="163">
        <v>2041</v>
      </c>
      <c r="I96" s="163">
        <v>2041</v>
      </c>
      <c r="J96" s="163">
        <v>2041</v>
      </c>
      <c r="K96" s="163">
        <v>2041</v>
      </c>
      <c r="L96" s="163">
        <v>2041</v>
      </c>
      <c r="M96" s="163">
        <v>2041</v>
      </c>
      <c r="N96" s="163">
        <v>2041</v>
      </c>
      <c r="O96" s="163">
        <v>2041</v>
      </c>
      <c r="P96" s="163">
        <v>2041</v>
      </c>
      <c r="Q96" s="163">
        <v>2041</v>
      </c>
      <c r="R96" s="163">
        <v>24492</v>
      </c>
      <c r="S96" s="17"/>
      <c r="T96" s="163">
        <v>2041</v>
      </c>
      <c r="U96" s="163">
        <v>2041</v>
      </c>
      <c r="V96" s="163">
        <v>2041</v>
      </c>
      <c r="W96" s="163">
        <v>2041</v>
      </c>
      <c r="X96" s="163">
        <v>2041</v>
      </c>
      <c r="Y96" s="163">
        <v>2041</v>
      </c>
      <c r="Z96" s="214">
        <f>SUM(T96:Y96)</f>
        <v>12246</v>
      </c>
      <c r="AA96" s="78"/>
      <c r="AB96" s="214">
        <f>SUM(F96:K96)</f>
        <v>12246</v>
      </c>
      <c r="AC96" s="11">
        <f>+Z96-AB96</f>
        <v>0</v>
      </c>
      <c r="AD96" s="12">
        <f t="shared" ref="AD96" si="23">+AC96/AB96</f>
        <v>0</v>
      </c>
    </row>
    <row r="97" spans="1:30" x14ac:dyDescent="0.4">
      <c r="A97" s="74"/>
      <c r="B97" s="201" t="s">
        <v>70</v>
      </c>
      <c r="C97" s="163">
        <v>208176</v>
      </c>
      <c r="D97" s="163">
        <v>17348</v>
      </c>
      <c r="E97" s="202" t="s">
        <v>19</v>
      </c>
      <c r="F97" s="163">
        <v>17348</v>
      </c>
      <c r="G97" s="163">
        <v>17348</v>
      </c>
      <c r="H97" s="163">
        <v>17348</v>
      </c>
      <c r="I97" s="163">
        <v>17348</v>
      </c>
      <c r="J97" s="163">
        <v>17348</v>
      </c>
      <c r="K97" s="163">
        <v>17348</v>
      </c>
      <c r="L97" s="163">
        <v>17348</v>
      </c>
      <c r="M97" s="163">
        <v>17348</v>
      </c>
      <c r="N97" s="163">
        <v>17348</v>
      </c>
      <c r="O97" s="163">
        <v>17348</v>
      </c>
      <c r="P97" s="163">
        <v>17348</v>
      </c>
      <c r="Q97" s="163">
        <v>17348</v>
      </c>
      <c r="R97" s="163">
        <v>208176</v>
      </c>
      <c r="S97" s="78"/>
      <c r="T97" s="163">
        <v>17348</v>
      </c>
      <c r="U97" s="163">
        <v>17348</v>
      </c>
      <c r="V97" s="163">
        <v>17348</v>
      </c>
      <c r="W97" s="163">
        <v>17348</v>
      </c>
      <c r="X97" s="163">
        <f>SUM(X95:X96)</f>
        <v>17348</v>
      </c>
      <c r="Y97" s="163">
        <f>SUM(Y95:Y96)</f>
        <v>17348</v>
      </c>
      <c r="Z97" s="163">
        <f>SUM(Z95:Z96)</f>
        <v>104088</v>
      </c>
      <c r="AA97" s="79"/>
      <c r="AB97" s="163">
        <f>SUM(AB95:AB96)</f>
        <v>104088</v>
      </c>
      <c r="AC97" s="163">
        <f>SUM(AC95:AC96)</f>
        <v>0</v>
      </c>
      <c r="AD97" s="12">
        <f t="shared" si="18"/>
        <v>0</v>
      </c>
    </row>
    <row r="98" spans="1:30" x14ac:dyDescent="0.4">
      <c r="A98" s="74" t="s">
        <v>66</v>
      </c>
      <c r="B98" s="201"/>
      <c r="C98" s="164"/>
      <c r="D98" s="164"/>
      <c r="E98" s="202" t="s">
        <v>19</v>
      </c>
      <c r="F98" s="164"/>
      <c r="G98" s="164"/>
      <c r="H98" s="164"/>
      <c r="I98" s="164"/>
      <c r="J98" s="164"/>
      <c r="K98" s="164"/>
      <c r="L98" s="164"/>
      <c r="M98" s="164"/>
      <c r="N98" s="164"/>
      <c r="O98" s="164"/>
      <c r="P98" s="164"/>
      <c r="Q98" s="164"/>
      <c r="R98" s="164"/>
      <c r="S98" s="17"/>
      <c r="T98" s="164"/>
      <c r="U98" s="164"/>
      <c r="V98" s="164"/>
      <c r="W98" s="164"/>
      <c r="X98" s="164"/>
      <c r="Y98" s="164"/>
      <c r="Z98" s="164"/>
      <c r="AA98" s="76"/>
      <c r="AB98" s="164"/>
      <c r="AC98" s="9"/>
      <c r="AD98" s="10"/>
    </row>
    <row r="99" spans="1:30" x14ac:dyDescent="0.4">
      <c r="A99" s="74" t="s">
        <v>68</v>
      </c>
      <c r="B99" s="201" t="s">
        <v>71</v>
      </c>
      <c r="C99" s="162">
        <v>1490888.08</v>
      </c>
      <c r="D99" s="162">
        <v>124240.67333333334</v>
      </c>
      <c r="E99" s="202" t="s">
        <v>19</v>
      </c>
      <c r="F99" s="162">
        <v>125773.16</v>
      </c>
      <c r="G99" s="162">
        <v>127586.38</v>
      </c>
      <c r="H99" s="162">
        <v>122845.71</v>
      </c>
      <c r="I99" s="162">
        <v>123048.77</v>
      </c>
      <c r="J99" s="162">
        <v>135794.07</v>
      </c>
      <c r="K99" s="162">
        <v>127915.05</v>
      </c>
      <c r="L99" s="162">
        <v>108414.3</v>
      </c>
      <c r="M99" s="162">
        <v>131956.32</v>
      </c>
      <c r="N99" s="162">
        <v>122390.84</v>
      </c>
      <c r="O99" s="162">
        <v>133270.74</v>
      </c>
      <c r="P99" s="162">
        <v>132378.66</v>
      </c>
      <c r="Q99" s="162">
        <v>118400.73</v>
      </c>
      <c r="R99" s="162">
        <v>1509774.73</v>
      </c>
      <c r="S99" s="78"/>
      <c r="T99" s="162">
        <v>128570.72</v>
      </c>
      <c r="U99" s="162">
        <v>143103.70000000001</v>
      </c>
      <c r="V99" s="162">
        <v>125166.02</v>
      </c>
      <c r="W99" s="162">
        <v>108538.94</v>
      </c>
      <c r="X99" s="162">
        <f>+X92+X97</f>
        <v>144227</v>
      </c>
      <c r="Y99" s="162">
        <f t="shared" ref="Y99:Z99" si="24">+Y92+Y97</f>
        <v>155754.42000000001</v>
      </c>
      <c r="Z99" s="162">
        <f t="shared" si="24"/>
        <v>805360.8</v>
      </c>
      <c r="AA99" s="78"/>
      <c r="AB99" s="162">
        <f>SUM(F99:K99)</f>
        <v>762963.14000000013</v>
      </c>
      <c r="AC99" s="4">
        <f>+Z99-AB99</f>
        <v>42397.659999999916</v>
      </c>
      <c r="AD99" s="5">
        <f t="shared" si="18"/>
        <v>5.5569735649352484E-2</v>
      </c>
    </row>
    <row r="100" spans="1:30" x14ac:dyDescent="0.4">
      <c r="A100" s="74"/>
      <c r="B100" s="201"/>
      <c r="C100" s="161"/>
      <c r="D100" s="161"/>
      <c r="E100" s="202" t="s">
        <v>19</v>
      </c>
      <c r="F100" s="161"/>
      <c r="G100" s="161"/>
      <c r="H100" s="161"/>
      <c r="I100" s="161"/>
      <c r="J100" s="161"/>
      <c r="K100" s="161"/>
      <c r="L100" s="161"/>
      <c r="M100" s="161"/>
      <c r="N100" s="161"/>
      <c r="O100" s="161"/>
      <c r="P100" s="161"/>
      <c r="Q100" s="161"/>
      <c r="R100" s="161"/>
      <c r="S100" s="78"/>
      <c r="T100" s="161"/>
      <c r="U100" s="161"/>
      <c r="V100" s="161"/>
      <c r="W100" s="161"/>
      <c r="X100" s="161"/>
      <c r="Y100" s="161"/>
      <c r="Z100" s="161"/>
      <c r="AA100" s="17"/>
      <c r="AB100" s="161"/>
      <c r="AC100" s="4"/>
      <c r="AD100" s="5"/>
    </row>
    <row r="101" spans="1:30" x14ac:dyDescent="0.4">
      <c r="A101" s="74"/>
      <c r="B101" s="201"/>
      <c r="C101" s="164"/>
      <c r="D101" s="164"/>
      <c r="E101" s="202" t="s">
        <v>19</v>
      </c>
      <c r="F101" s="164"/>
      <c r="G101" s="164"/>
      <c r="H101" s="164"/>
      <c r="I101" s="164"/>
      <c r="J101" s="164"/>
      <c r="K101" s="164"/>
      <c r="L101" s="164"/>
      <c r="M101" s="164"/>
      <c r="N101" s="164"/>
      <c r="O101" s="164"/>
      <c r="P101" s="164"/>
      <c r="Q101" s="164"/>
      <c r="R101" s="164"/>
      <c r="S101" s="17"/>
      <c r="T101" s="164"/>
      <c r="U101" s="164"/>
      <c r="V101" s="164"/>
      <c r="W101" s="164"/>
      <c r="X101" s="164"/>
      <c r="Y101" s="164"/>
      <c r="Z101" s="164"/>
      <c r="AA101" s="76"/>
      <c r="AB101" s="164"/>
      <c r="AC101" s="4"/>
      <c r="AD101" s="5"/>
    </row>
    <row r="102" spans="1:30" ht="15" thickBot="1" x14ac:dyDescent="0.45">
      <c r="A102" s="74"/>
      <c r="B102" s="201" t="s">
        <v>228</v>
      </c>
      <c r="C102" s="165">
        <v>-265735.99</v>
      </c>
      <c r="D102" s="165">
        <v>-22144.665833333333</v>
      </c>
      <c r="E102" s="202" t="s">
        <v>19</v>
      </c>
      <c r="F102" s="165">
        <v>102902.54</v>
      </c>
      <c r="G102" s="165">
        <v>-66682.14</v>
      </c>
      <c r="H102" s="165">
        <v>19265.39</v>
      </c>
      <c r="I102" s="165">
        <v>-34585.9</v>
      </c>
      <c r="J102" s="165">
        <v>48951.66</v>
      </c>
      <c r="K102" s="165">
        <v>-72311.33</v>
      </c>
      <c r="L102" s="165">
        <v>-25734.720000000001</v>
      </c>
      <c r="M102" s="165">
        <v>86258.82</v>
      </c>
      <c r="N102" s="165">
        <v>-57521.23</v>
      </c>
      <c r="O102" s="165">
        <v>-95263.16</v>
      </c>
      <c r="P102" s="165">
        <v>50543.35</v>
      </c>
      <c r="Q102" s="165">
        <v>-74608.5</v>
      </c>
      <c r="R102" s="165">
        <v>-118785.22</v>
      </c>
      <c r="S102" s="78"/>
      <c r="T102" s="165">
        <v>83874.66</v>
      </c>
      <c r="U102" s="165">
        <v>-34661.9</v>
      </c>
      <c r="V102" s="165">
        <v>4305.6899999999996</v>
      </c>
      <c r="W102" s="165">
        <v>83682.16</v>
      </c>
      <c r="X102" s="165">
        <f>+X14-X99</f>
        <v>14439.260000000009</v>
      </c>
      <c r="Y102" s="165">
        <f t="shared" ref="Y102:Z102" si="25">+Y14-Y99</f>
        <v>76679.01999999999</v>
      </c>
      <c r="Z102" s="165">
        <f t="shared" si="25"/>
        <v>228318.8899999999</v>
      </c>
      <c r="AA102" s="76"/>
      <c r="AB102" s="165">
        <f>SUM(F102:K102)</f>
        <v>-2459.7800000000134</v>
      </c>
      <c r="AC102" s="13">
        <f>+Z102-AB102</f>
        <v>230778.66999999993</v>
      </c>
      <c r="AD102" s="14">
        <f t="shared" si="18"/>
        <v>-93.820857962906715</v>
      </c>
    </row>
    <row r="103" spans="1:30" ht="15" thickTop="1" x14ac:dyDescent="0.4">
      <c r="A103" s="74"/>
      <c r="B103" s="201"/>
      <c r="C103" s="161"/>
      <c r="D103" s="161"/>
      <c r="E103" s="202" t="s">
        <v>19</v>
      </c>
      <c r="F103" s="161"/>
      <c r="G103" s="161"/>
      <c r="H103" s="161"/>
      <c r="I103" s="161"/>
      <c r="J103" s="161"/>
      <c r="K103" s="161"/>
      <c r="L103" s="161"/>
      <c r="M103" s="161"/>
      <c r="N103" s="161"/>
      <c r="O103" s="161"/>
      <c r="P103" s="161"/>
      <c r="Q103" s="161"/>
      <c r="R103" s="161"/>
      <c r="S103" s="78"/>
      <c r="T103" s="161"/>
      <c r="U103" s="161"/>
      <c r="V103" s="161"/>
      <c r="W103" s="161"/>
      <c r="X103" s="161"/>
      <c r="Y103" s="161"/>
      <c r="Z103" s="161"/>
      <c r="AA103" s="76"/>
      <c r="AB103" s="161"/>
      <c r="AC103" s="5"/>
    </row>
    <row r="104" spans="1:30" x14ac:dyDescent="0.4">
      <c r="A104" s="74"/>
      <c r="B104" s="201"/>
      <c r="C104" s="161"/>
      <c r="D104" s="161"/>
      <c r="E104" s="202" t="s">
        <v>19</v>
      </c>
      <c r="F104" s="161"/>
      <c r="G104" s="161"/>
      <c r="H104" s="161"/>
      <c r="I104" s="161"/>
      <c r="J104" s="161"/>
      <c r="K104" s="161"/>
      <c r="L104" s="161"/>
      <c r="M104" s="161"/>
      <c r="N104" s="161"/>
      <c r="O104" s="161"/>
      <c r="P104" s="161"/>
      <c r="Q104" s="161"/>
      <c r="R104" s="161"/>
      <c r="S104" s="78"/>
      <c r="T104" s="181"/>
      <c r="U104" s="181"/>
      <c r="V104" s="181"/>
      <c r="W104" s="181"/>
      <c r="X104" s="181"/>
      <c r="Y104" s="181"/>
      <c r="Z104" s="181"/>
      <c r="AB104" s="4"/>
      <c r="AC104" s="5"/>
    </row>
    <row r="105" spans="1:30" x14ac:dyDescent="0.4">
      <c r="A105" s="74"/>
      <c r="B105" s="201"/>
      <c r="C105" s="161"/>
      <c r="D105" s="161"/>
      <c r="E105" s="202" t="s">
        <v>19</v>
      </c>
      <c r="F105" s="161"/>
      <c r="G105" s="161"/>
      <c r="H105" s="161"/>
      <c r="I105" s="161"/>
      <c r="J105" s="161"/>
      <c r="K105" s="161"/>
      <c r="L105" s="161"/>
      <c r="M105" s="161"/>
      <c r="N105" s="161"/>
      <c r="O105" s="161"/>
      <c r="P105" s="161"/>
      <c r="Q105" s="161"/>
      <c r="R105" s="161"/>
      <c r="T105" s="180"/>
      <c r="U105" s="180"/>
      <c r="V105" s="180"/>
      <c r="W105" s="180"/>
      <c r="X105" s="180"/>
      <c r="Y105" s="180"/>
      <c r="Z105" s="180"/>
      <c r="AB105" s="4"/>
      <c r="AC105" s="5"/>
    </row>
    <row r="106" spans="1:30" x14ac:dyDescent="0.4">
      <c r="A106" s="74"/>
      <c r="T106" s="181"/>
      <c r="U106" s="181"/>
      <c r="V106" s="181"/>
      <c r="W106" s="181"/>
      <c r="X106" s="181"/>
      <c r="Y106" s="181"/>
      <c r="Z106" s="181"/>
      <c r="AB106" s="4"/>
      <c r="AC106" s="5"/>
    </row>
    <row r="107" spans="1:30" x14ac:dyDescent="0.4">
      <c r="A107" s="74"/>
      <c r="T107" s="161"/>
      <c r="U107" s="161"/>
      <c r="V107" s="161"/>
      <c r="W107" s="161"/>
      <c r="X107" s="161"/>
      <c r="Y107" s="161"/>
      <c r="Z107" s="161"/>
      <c r="AB107" s="4"/>
      <c r="AC107" s="5"/>
    </row>
    <row r="108" spans="1:30" x14ac:dyDescent="0.4">
      <c r="A108" s="74"/>
      <c r="T108" s="161"/>
      <c r="U108" s="161"/>
      <c r="V108" s="161"/>
      <c r="W108" s="161"/>
      <c r="X108" s="161"/>
      <c r="Y108" s="161"/>
      <c r="Z108" s="161"/>
      <c r="AB108" s="4"/>
      <c r="AC108" s="5"/>
    </row>
    <row r="109" spans="1:30" x14ac:dyDescent="0.4">
      <c r="A109" s="74"/>
      <c r="AB109" s="4"/>
      <c r="AC109" s="5"/>
    </row>
    <row r="110" spans="1:30" x14ac:dyDescent="0.4">
      <c r="A110" s="74"/>
      <c r="AB110" s="4"/>
      <c r="AC110" s="5"/>
    </row>
    <row r="111" spans="1:30" x14ac:dyDescent="0.4">
      <c r="A111" s="74"/>
      <c r="AB111" s="4"/>
      <c r="AC111" s="5"/>
    </row>
    <row r="112" spans="1:30" x14ac:dyDescent="0.4">
      <c r="AB112" s="4"/>
      <c r="AC112" s="5"/>
    </row>
    <row r="113" spans="28:29" x14ac:dyDescent="0.4">
      <c r="AB113" s="4"/>
      <c r="AC113" s="5"/>
    </row>
    <row r="114" spans="28:29" x14ac:dyDescent="0.4">
      <c r="AB114" s="4"/>
      <c r="AC114" s="5"/>
    </row>
    <row r="115" spans="28:29" x14ac:dyDescent="0.4">
      <c r="AB115" s="4"/>
      <c r="AC115" s="5"/>
    </row>
    <row r="116" spans="28:29" x14ac:dyDescent="0.4">
      <c r="AB116" s="4"/>
      <c r="AC116" s="5"/>
    </row>
    <row r="117" spans="28:29" x14ac:dyDescent="0.4">
      <c r="AB117" s="4"/>
      <c r="AC117" s="5"/>
    </row>
    <row r="118" spans="28:29" x14ac:dyDescent="0.4">
      <c r="AB118" s="4"/>
      <c r="AC118" s="5"/>
    </row>
    <row r="119" spans="28:29" x14ac:dyDescent="0.4">
      <c r="AB119" s="4"/>
      <c r="AC119" s="5"/>
    </row>
    <row r="120" spans="28:29" x14ac:dyDescent="0.4">
      <c r="AB120" s="4"/>
      <c r="AC120" s="5"/>
    </row>
    <row r="121" spans="28:29" x14ac:dyDescent="0.4">
      <c r="AB121" s="4"/>
      <c r="AC121" s="5"/>
    </row>
    <row r="122" spans="28:29" x14ac:dyDescent="0.4">
      <c r="AB122" s="4"/>
      <c r="AC122" s="5"/>
    </row>
    <row r="123" spans="28:29" x14ac:dyDescent="0.4">
      <c r="AB123" s="4"/>
      <c r="AC123" s="5"/>
    </row>
    <row r="124" spans="28:29" x14ac:dyDescent="0.4">
      <c r="AB124" s="4"/>
      <c r="AC124" s="5"/>
    </row>
    <row r="125" spans="28:29" x14ac:dyDescent="0.4">
      <c r="AB125" s="4"/>
      <c r="AC125" s="5"/>
    </row>
    <row r="126" spans="28:29" x14ac:dyDescent="0.4">
      <c r="AB126" s="4"/>
      <c r="AC126" s="5"/>
    </row>
    <row r="127" spans="28:29" x14ac:dyDescent="0.4">
      <c r="AB127" s="4"/>
      <c r="AC127" s="5"/>
    </row>
    <row r="128" spans="28:29" x14ac:dyDescent="0.4">
      <c r="AB128" s="4"/>
      <c r="AC128" s="5"/>
    </row>
    <row r="129" spans="28:29" x14ac:dyDescent="0.4">
      <c r="AB129" s="4"/>
      <c r="AC129" s="5"/>
    </row>
    <row r="130" spans="28:29" x14ac:dyDescent="0.4">
      <c r="AB130" s="4"/>
      <c r="AC130" s="5"/>
    </row>
    <row r="131" spans="28:29" x14ac:dyDescent="0.4">
      <c r="AB131" s="4"/>
      <c r="AC131" s="5"/>
    </row>
    <row r="132" spans="28:29" x14ac:dyDescent="0.4">
      <c r="AB132" s="4"/>
      <c r="AC132" s="5"/>
    </row>
    <row r="133" spans="28:29" x14ac:dyDescent="0.4">
      <c r="AB133" s="4"/>
      <c r="AC133" s="5"/>
    </row>
    <row r="134" spans="28:29" x14ac:dyDescent="0.4">
      <c r="AB134" s="4"/>
      <c r="AC134" s="5"/>
    </row>
    <row r="135" spans="28:29" x14ac:dyDescent="0.4">
      <c r="AB135" s="4"/>
      <c r="AC135" s="5"/>
    </row>
    <row r="136" spans="28:29" x14ac:dyDescent="0.4">
      <c r="AB136" s="4"/>
      <c r="AC136" s="5"/>
    </row>
    <row r="137" spans="28:29" x14ac:dyDescent="0.4">
      <c r="AB137" s="4"/>
      <c r="AC137" s="5"/>
    </row>
    <row r="138" spans="28:29" x14ac:dyDescent="0.4">
      <c r="AB138" s="4"/>
      <c r="AC138" s="5"/>
    </row>
    <row r="139" spans="28:29" x14ac:dyDescent="0.4">
      <c r="AB139" s="4"/>
      <c r="AC139" s="5"/>
    </row>
    <row r="140" spans="28:29" x14ac:dyDescent="0.4">
      <c r="AB140" s="4"/>
      <c r="AC140" s="5"/>
    </row>
    <row r="141" spans="28:29" x14ac:dyDescent="0.4">
      <c r="AB141" s="4"/>
      <c r="AC141" s="5"/>
    </row>
    <row r="142" spans="28:29" x14ac:dyDescent="0.4">
      <c r="AB142" s="4"/>
      <c r="AC142" s="5"/>
    </row>
    <row r="143" spans="28:29" x14ac:dyDescent="0.4">
      <c r="AB143" s="4"/>
      <c r="AC143" s="5"/>
    </row>
    <row r="144" spans="28:29" x14ac:dyDescent="0.4">
      <c r="AB144" s="4"/>
      <c r="AC144" s="5"/>
    </row>
    <row r="145" spans="28:29" x14ac:dyDescent="0.4">
      <c r="AB145" s="4"/>
      <c r="AC145" s="5"/>
    </row>
    <row r="146" spans="28:29" x14ac:dyDescent="0.4">
      <c r="AB146" s="4"/>
      <c r="AC146" s="5"/>
    </row>
    <row r="147" spans="28:29" x14ac:dyDescent="0.4">
      <c r="AB147" s="4"/>
      <c r="AC147" s="5"/>
    </row>
    <row r="148" spans="28:29" x14ac:dyDescent="0.4">
      <c r="AB148" s="4"/>
      <c r="AC148" s="5"/>
    </row>
    <row r="149" spans="28:29" x14ac:dyDescent="0.4">
      <c r="AB149" s="4"/>
      <c r="AC149" s="5"/>
    </row>
    <row r="150" spans="28:29" x14ac:dyDescent="0.4">
      <c r="AB150" s="4"/>
      <c r="AC150" s="5"/>
    </row>
    <row r="151" spans="28:29" x14ac:dyDescent="0.4">
      <c r="AB151" s="4"/>
      <c r="AC151" s="5"/>
    </row>
    <row r="152" spans="28:29" x14ac:dyDescent="0.4">
      <c r="AB152" s="4"/>
      <c r="AC152" s="5"/>
    </row>
    <row r="153" spans="28:29" x14ac:dyDescent="0.4">
      <c r="AB153" s="4"/>
      <c r="AC153" s="5"/>
    </row>
    <row r="154" spans="28:29" x14ac:dyDescent="0.4">
      <c r="AB154" s="4"/>
      <c r="AC154" s="5"/>
    </row>
    <row r="155" spans="28:29" x14ac:dyDescent="0.4">
      <c r="AB155" s="4"/>
      <c r="AC155" s="5"/>
    </row>
    <row r="156" spans="28:29" x14ac:dyDescent="0.4">
      <c r="AB156" s="4"/>
      <c r="AC156" s="5"/>
    </row>
    <row r="157" spans="28:29" x14ac:dyDescent="0.4">
      <c r="AB157" s="4"/>
      <c r="AC157" s="5"/>
    </row>
    <row r="158" spans="28:29" x14ac:dyDescent="0.4">
      <c r="AB158" s="4"/>
      <c r="AC158" s="5"/>
    </row>
    <row r="159" spans="28:29" x14ac:dyDescent="0.4">
      <c r="AB159" s="4"/>
      <c r="AC159" s="5"/>
    </row>
    <row r="160" spans="28:29" x14ac:dyDescent="0.4">
      <c r="AB160" s="4"/>
      <c r="AC160" s="5"/>
    </row>
    <row r="161" spans="28:29" x14ac:dyDescent="0.4">
      <c r="AB161" s="4"/>
      <c r="AC161" s="5"/>
    </row>
    <row r="162" spans="28:29" x14ac:dyDescent="0.4">
      <c r="AB162" s="4"/>
      <c r="AC162" s="5"/>
    </row>
    <row r="163" spans="28:29" x14ac:dyDescent="0.4">
      <c r="AB163" s="4"/>
      <c r="AC163" s="5"/>
    </row>
    <row r="164" spans="28:29" x14ac:dyDescent="0.4">
      <c r="AB164" s="4"/>
      <c r="AC164" s="5"/>
    </row>
    <row r="165" spans="28:29" x14ac:dyDescent="0.4">
      <c r="AB165" s="4"/>
      <c r="AC165" s="5"/>
    </row>
    <row r="166" spans="28:29" x14ac:dyDescent="0.4">
      <c r="AB166" s="4"/>
      <c r="AC166" s="5"/>
    </row>
    <row r="167" spans="28:29" x14ac:dyDescent="0.4">
      <c r="AB167" s="4"/>
      <c r="AC167" s="5"/>
    </row>
    <row r="168" spans="28:29" x14ac:dyDescent="0.4">
      <c r="AB168" s="4"/>
      <c r="AC168" s="5"/>
    </row>
    <row r="169" spans="28:29" x14ac:dyDescent="0.4">
      <c r="AB169" s="4"/>
      <c r="AC169" s="5"/>
    </row>
    <row r="170" spans="28:29" x14ac:dyDescent="0.4">
      <c r="AB170" s="4"/>
      <c r="AC170" s="5"/>
    </row>
    <row r="171" spans="28:29" x14ac:dyDescent="0.4">
      <c r="AB171" s="4"/>
      <c r="AC171" s="5"/>
    </row>
    <row r="172" spans="28:29" x14ac:dyDescent="0.4">
      <c r="AB172" s="4"/>
      <c r="AC172" s="5"/>
    </row>
    <row r="173" spans="28:29" x14ac:dyDescent="0.4">
      <c r="AB173" s="4"/>
      <c r="AC173" s="5"/>
    </row>
    <row r="174" spans="28:29" x14ac:dyDescent="0.4">
      <c r="AB174" s="4"/>
      <c r="AC174" s="5"/>
    </row>
    <row r="175" spans="28:29" x14ac:dyDescent="0.4">
      <c r="AB175" s="4"/>
      <c r="AC175" s="5"/>
    </row>
    <row r="176" spans="28:29" x14ac:dyDescent="0.4">
      <c r="AB176" s="4"/>
      <c r="AC176" s="5"/>
    </row>
    <row r="177" spans="28:29" x14ac:dyDescent="0.4">
      <c r="AB177" s="4"/>
      <c r="AC177" s="5"/>
    </row>
    <row r="178" spans="28:29" x14ac:dyDescent="0.4">
      <c r="AB178" s="4"/>
      <c r="AC178" s="5"/>
    </row>
    <row r="179" spans="28:29" x14ac:dyDescent="0.4">
      <c r="AB179" s="4"/>
      <c r="AC179" s="5"/>
    </row>
    <row r="180" spans="28:29" x14ac:dyDescent="0.4">
      <c r="AB180" s="4"/>
      <c r="AC180" s="5"/>
    </row>
    <row r="181" spans="28:29" x14ac:dyDescent="0.4">
      <c r="AB181" s="4"/>
      <c r="AC181" s="5"/>
    </row>
    <row r="182" spans="28:29" x14ac:dyDescent="0.4">
      <c r="AB182" s="4"/>
      <c r="AC182" s="5"/>
    </row>
    <row r="183" spans="28:29" x14ac:dyDescent="0.4">
      <c r="AB183" s="4"/>
      <c r="AC183" s="5"/>
    </row>
    <row r="184" spans="28:29" x14ac:dyDescent="0.4">
      <c r="AB184" s="4"/>
      <c r="AC184" s="5"/>
    </row>
    <row r="185" spans="28:29" x14ac:dyDescent="0.4">
      <c r="AB185" s="4"/>
      <c r="AC185" s="5"/>
    </row>
    <row r="186" spans="28:29" x14ac:dyDescent="0.4">
      <c r="AB186" s="4"/>
      <c r="AC186" s="5"/>
    </row>
    <row r="187" spans="28:29" x14ac:dyDescent="0.4">
      <c r="AB187" s="4"/>
      <c r="AC187" s="5"/>
    </row>
    <row r="188" spans="28:29" x14ac:dyDescent="0.4">
      <c r="AB188" s="4"/>
      <c r="AC188" s="5"/>
    </row>
    <row r="189" spans="28:29" x14ac:dyDescent="0.4">
      <c r="AB189" s="4"/>
      <c r="AC189" s="5"/>
    </row>
    <row r="190" spans="28:29" x14ac:dyDescent="0.4">
      <c r="AB190" s="4"/>
      <c r="AC190" s="5"/>
    </row>
    <row r="191" spans="28:29" x14ac:dyDescent="0.4">
      <c r="AB191" s="4"/>
      <c r="AC191" s="5"/>
    </row>
    <row r="192" spans="28:29" x14ac:dyDescent="0.4">
      <c r="AB192" s="4"/>
      <c r="AC192" s="5"/>
    </row>
    <row r="193" spans="28:29" x14ac:dyDescent="0.4">
      <c r="AB193" s="4"/>
      <c r="AC193" s="5"/>
    </row>
    <row r="194" spans="28:29" x14ac:dyDescent="0.4">
      <c r="AB194" s="4"/>
      <c r="AC194" s="5"/>
    </row>
    <row r="195" spans="28:29" x14ac:dyDescent="0.4">
      <c r="AB195" s="4"/>
      <c r="AC195" s="5"/>
    </row>
    <row r="196" spans="28:29" x14ac:dyDescent="0.4">
      <c r="AB196" s="4"/>
      <c r="AC196" s="5"/>
    </row>
    <row r="197" spans="28:29" x14ac:dyDescent="0.4">
      <c r="AB197" s="4"/>
      <c r="AC197" s="5"/>
    </row>
    <row r="198" spans="28:29" x14ac:dyDescent="0.4">
      <c r="AB198" s="4"/>
      <c r="AC198" s="5"/>
    </row>
    <row r="199" spans="28:29" x14ac:dyDescent="0.4">
      <c r="AB199" s="4"/>
      <c r="AC199" s="5"/>
    </row>
    <row r="200" spans="28:29" x14ac:dyDescent="0.4">
      <c r="AB200" s="4"/>
      <c r="AC200" s="5"/>
    </row>
    <row r="201" spans="28:29" x14ac:dyDescent="0.4">
      <c r="AB201" s="4"/>
      <c r="AC201" s="5"/>
    </row>
    <row r="202" spans="28:29" x14ac:dyDescent="0.4">
      <c r="AB202" s="4"/>
      <c r="AC202" s="5"/>
    </row>
    <row r="203" spans="28:29" x14ac:dyDescent="0.4">
      <c r="AB203" s="4"/>
      <c r="AC203" s="5"/>
    </row>
    <row r="204" spans="28:29" x14ac:dyDescent="0.4">
      <c r="AB204" s="4"/>
      <c r="AC204" s="5"/>
    </row>
    <row r="205" spans="28:29" x14ac:dyDescent="0.4">
      <c r="AB205" s="4"/>
      <c r="AC205" s="5"/>
    </row>
    <row r="206" spans="28:29" x14ac:dyDescent="0.4">
      <c r="AB206" s="4"/>
      <c r="AC206" s="5"/>
    </row>
    <row r="207" spans="28:29" x14ac:dyDescent="0.4">
      <c r="AB207" s="4"/>
      <c r="AC207" s="5"/>
    </row>
    <row r="208" spans="28:29" x14ac:dyDescent="0.4">
      <c r="AB208" s="4"/>
      <c r="AC208" s="5"/>
    </row>
    <row r="209" spans="28:29" x14ac:dyDescent="0.4">
      <c r="AB209" s="4"/>
      <c r="AC209" s="5"/>
    </row>
    <row r="210" spans="28:29" x14ac:dyDescent="0.4">
      <c r="AB210" s="4"/>
      <c r="AC210" s="5"/>
    </row>
    <row r="211" spans="28:29" x14ac:dyDescent="0.4">
      <c r="AB211" s="4"/>
      <c r="AC211" s="5"/>
    </row>
    <row r="212" spans="28:29" x14ac:dyDescent="0.4">
      <c r="AB212" s="4"/>
      <c r="AC212" s="5"/>
    </row>
    <row r="213" spans="28:29" x14ac:dyDescent="0.4">
      <c r="AB213" s="4"/>
      <c r="AC213" s="5"/>
    </row>
    <row r="214" spans="28:29" x14ac:dyDescent="0.4">
      <c r="AB214" s="4"/>
      <c r="AC214" s="5"/>
    </row>
    <row r="215" spans="28:29" x14ac:dyDescent="0.4">
      <c r="AB215" s="4"/>
      <c r="AC215" s="5"/>
    </row>
    <row r="216" spans="28:29" x14ac:dyDescent="0.4">
      <c r="AB216" s="4"/>
      <c r="AC216" s="5"/>
    </row>
    <row r="217" spans="28:29" x14ac:dyDescent="0.4">
      <c r="AB217" s="4"/>
      <c r="AC217" s="5"/>
    </row>
    <row r="218" spans="28:29" x14ac:dyDescent="0.4">
      <c r="AB218" s="4"/>
      <c r="AC218" s="5"/>
    </row>
    <row r="219" spans="28:29" x14ac:dyDescent="0.4">
      <c r="AB219" s="4"/>
      <c r="AC219" s="5"/>
    </row>
    <row r="220" spans="28:29" x14ac:dyDescent="0.4">
      <c r="AB220" s="4"/>
      <c r="AC220" s="5"/>
    </row>
    <row r="221" spans="28:29" x14ac:dyDescent="0.4">
      <c r="AB221" s="4"/>
      <c r="AC221" s="5"/>
    </row>
    <row r="222" spans="28:29" x14ac:dyDescent="0.4">
      <c r="AB222" s="4"/>
      <c r="AC222" s="5"/>
    </row>
    <row r="223" spans="28:29" x14ac:dyDescent="0.4">
      <c r="AB223" s="4"/>
      <c r="AC223" s="5"/>
    </row>
    <row r="224" spans="28:29" x14ac:dyDescent="0.4">
      <c r="AB224" s="4"/>
      <c r="AC224" s="5"/>
    </row>
    <row r="225" spans="28:29" x14ac:dyDescent="0.4">
      <c r="AB225" s="4"/>
      <c r="AC225" s="5"/>
    </row>
    <row r="226" spans="28:29" x14ac:dyDescent="0.4">
      <c r="AB226" s="4"/>
      <c r="AC226" s="5"/>
    </row>
    <row r="227" spans="28:29" x14ac:dyDescent="0.4">
      <c r="AB227" s="4"/>
      <c r="AC227" s="5"/>
    </row>
    <row r="228" spans="28:29" x14ac:dyDescent="0.4">
      <c r="AB228" s="4"/>
      <c r="AC228" s="5"/>
    </row>
    <row r="229" spans="28:29" x14ac:dyDescent="0.4">
      <c r="AB229" s="4"/>
      <c r="AC229" s="5"/>
    </row>
    <row r="230" spans="28:29" x14ac:dyDescent="0.4">
      <c r="AB230" s="4"/>
      <c r="AC230" s="5"/>
    </row>
    <row r="231" spans="28:29" x14ac:dyDescent="0.4">
      <c r="AB231" s="4"/>
      <c r="AC231" s="5"/>
    </row>
    <row r="232" spans="28:29" x14ac:dyDescent="0.4">
      <c r="AB232" s="4"/>
      <c r="AC232" s="5"/>
    </row>
    <row r="233" spans="28:29" x14ac:dyDescent="0.4">
      <c r="AB233" s="4"/>
      <c r="AC233" s="5"/>
    </row>
    <row r="234" spans="28:29" x14ac:dyDescent="0.4">
      <c r="AB234" s="4"/>
      <c r="AC234" s="5"/>
    </row>
    <row r="235" spans="28:29" x14ac:dyDescent="0.4">
      <c r="AB235" s="4"/>
      <c r="AC235" s="5"/>
    </row>
    <row r="236" spans="28:29" x14ac:dyDescent="0.4">
      <c r="AB236" s="4"/>
      <c r="AC236" s="5"/>
    </row>
    <row r="237" spans="28:29" x14ac:dyDescent="0.4">
      <c r="AB237" s="4"/>
      <c r="AC237" s="5"/>
    </row>
    <row r="238" spans="28:29" x14ac:dyDescent="0.4">
      <c r="AB238" s="4"/>
      <c r="AC238" s="5"/>
    </row>
    <row r="239" spans="28:29" x14ac:dyDescent="0.4">
      <c r="AB239" s="4"/>
      <c r="AC239" s="5"/>
    </row>
    <row r="240" spans="28:29" x14ac:dyDescent="0.4">
      <c r="AB240" s="4"/>
      <c r="AC240" s="5"/>
    </row>
    <row r="241" spans="28:29" x14ac:dyDescent="0.4">
      <c r="AB241" s="4"/>
      <c r="AC241" s="5"/>
    </row>
    <row r="242" spans="28:29" x14ac:dyDescent="0.4">
      <c r="AB242" s="4"/>
      <c r="AC242" s="5"/>
    </row>
    <row r="243" spans="28:29" x14ac:dyDescent="0.4">
      <c r="AB243" s="4"/>
      <c r="AC243" s="5"/>
    </row>
    <row r="244" spans="28:29" x14ac:dyDescent="0.4">
      <c r="AB244" s="4"/>
      <c r="AC244" s="5"/>
    </row>
    <row r="245" spans="28:29" x14ac:dyDescent="0.4">
      <c r="AB245" s="4"/>
      <c r="AC245" s="5"/>
    </row>
    <row r="246" spans="28:29" x14ac:dyDescent="0.4">
      <c r="AB246" s="4"/>
      <c r="AC246" s="5"/>
    </row>
    <row r="247" spans="28:29" x14ac:dyDescent="0.4">
      <c r="AB247" s="4"/>
      <c r="AC247" s="5"/>
    </row>
    <row r="248" spans="28:29" x14ac:dyDescent="0.4">
      <c r="AB248" s="4"/>
      <c r="AC248" s="5"/>
    </row>
    <row r="249" spans="28:29" x14ac:dyDescent="0.4">
      <c r="AB249" s="4"/>
      <c r="AC249" s="5"/>
    </row>
    <row r="250" spans="28:29" x14ac:dyDescent="0.4">
      <c r="AB250" s="4"/>
      <c r="AC250" s="5"/>
    </row>
    <row r="251" spans="28:29" x14ac:dyDescent="0.4">
      <c r="AB251" s="4"/>
      <c r="AC251" s="5"/>
    </row>
    <row r="252" spans="28:29" x14ac:dyDescent="0.4">
      <c r="AB252" s="4"/>
      <c r="AC252" s="5"/>
    </row>
    <row r="253" spans="28:29" x14ac:dyDescent="0.4">
      <c r="AB253" s="4"/>
      <c r="AC253" s="5"/>
    </row>
    <row r="254" spans="28:29" x14ac:dyDescent="0.4">
      <c r="AB254" s="4"/>
      <c r="AC254" s="5"/>
    </row>
    <row r="255" spans="28:29" x14ac:dyDescent="0.4">
      <c r="AB255" s="4"/>
      <c r="AC255" s="5"/>
    </row>
    <row r="256" spans="28:29" x14ac:dyDescent="0.4">
      <c r="AB256" s="4"/>
      <c r="AC256" s="5"/>
    </row>
    <row r="257" spans="28:29" x14ac:dyDescent="0.4">
      <c r="AB257" s="4"/>
      <c r="AC257" s="5"/>
    </row>
    <row r="258" spans="28:29" x14ac:dyDescent="0.4">
      <c r="AB258" s="4"/>
      <c r="AC258" s="5"/>
    </row>
    <row r="259" spans="28:29" x14ac:dyDescent="0.4">
      <c r="AB259" s="4"/>
      <c r="AC259" s="5"/>
    </row>
    <row r="260" spans="28:29" x14ac:dyDescent="0.4">
      <c r="AB260" s="4"/>
      <c r="AC260" s="5"/>
    </row>
    <row r="261" spans="28:29" x14ac:dyDescent="0.4">
      <c r="AB261" s="4"/>
      <c r="AC261" s="5"/>
    </row>
    <row r="262" spans="28:29" x14ac:dyDescent="0.4">
      <c r="AB262" s="4"/>
      <c r="AC262" s="5"/>
    </row>
    <row r="263" spans="28:29" x14ac:dyDescent="0.4">
      <c r="AB263" s="4"/>
      <c r="AC263" s="5"/>
    </row>
    <row r="264" spans="28:29" x14ac:dyDescent="0.4">
      <c r="AB264" s="4"/>
      <c r="AC264" s="5"/>
    </row>
    <row r="265" spans="28:29" x14ac:dyDescent="0.4">
      <c r="AB265" s="4"/>
      <c r="AC265" s="5"/>
    </row>
    <row r="266" spans="28:29" x14ac:dyDescent="0.4">
      <c r="AB266" s="4"/>
      <c r="AC266" s="5"/>
    </row>
    <row r="267" spans="28:29" x14ac:dyDescent="0.4">
      <c r="AB267" s="4"/>
      <c r="AC267" s="5"/>
    </row>
    <row r="268" spans="28:29" x14ac:dyDescent="0.4">
      <c r="AB268" s="4"/>
      <c r="AC268" s="5"/>
    </row>
    <row r="269" spans="28:29" x14ac:dyDescent="0.4">
      <c r="AB269" s="4"/>
      <c r="AC269" s="5"/>
    </row>
    <row r="270" spans="28:29" x14ac:dyDescent="0.4">
      <c r="AB270" s="4"/>
      <c r="AC270" s="5"/>
    </row>
    <row r="271" spans="28:29" x14ac:dyDescent="0.4">
      <c r="AB271" s="4"/>
      <c r="AC271" s="5"/>
    </row>
    <row r="272" spans="28:29" x14ac:dyDescent="0.4">
      <c r="AB272" s="4"/>
      <c r="AC272" s="5"/>
    </row>
    <row r="273" spans="28:29" x14ac:dyDescent="0.4">
      <c r="AB273" s="4"/>
      <c r="AC273" s="5"/>
    </row>
    <row r="274" spans="28:29" x14ac:dyDescent="0.4">
      <c r="AB274" s="4"/>
      <c r="AC274" s="5"/>
    </row>
    <row r="275" spans="28:29" x14ac:dyDescent="0.4">
      <c r="AB275" s="4"/>
      <c r="AC275" s="5"/>
    </row>
    <row r="276" spans="28:29" x14ac:dyDescent="0.4">
      <c r="AB276" s="4"/>
      <c r="AC276" s="5"/>
    </row>
    <row r="277" spans="28:29" x14ac:dyDescent="0.4">
      <c r="AB277" s="4"/>
      <c r="AC277" s="39"/>
    </row>
    <row r="278" spans="28:29" x14ac:dyDescent="0.4">
      <c r="AB278" s="4"/>
      <c r="AC278" s="39"/>
    </row>
    <row r="279" spans="28:29" x14ac:dyDescent="0.4">
      <c r="AB279" s="4"/>
      <c r="AC279" s="39"/>
    </row>
    <row r="280" spans="28:29" x14ac:dyDescent="0.4">
      <c r="AB280" s="39"/>
      <c r="AC280" s="39"/>
    </row>
    <row r="281" spans="28:29" x14ac:dyDescent="0.4">
      <c r="AB281" s="39"/>
      <c r="AC281" s="39"/>
    </row>
    <row r="282" spans="28:29" x14ac:dyDescent="0.4">
      <c r="AB282" s="39"/>
      <c r="AC282" s="39"/>
    </row>
  </sheetData>
  <mergeCells count="3">
    <mergeCell ref="A1:AC1"/>
    <mergeCell ref="A2:AC2"/>
    <mergeCell ref="A3:AC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16"/>
  <sheetViews>
    <sheetView topLeftCell="B4" workbookViewId="0">
      <selection activeCell="N70" sqref="N70"/>
    </sheetView>
  </sheetViews>
  <sheetFormatPr defaultColWidth="9.15234375" defaultRowHeight="14.6" x14ac:dyDescent="0.4"/>
  <cols>
    <col min="1" max="1" width="0" style="2" hidden="1" customWidth="1"/>
    <col min="2" max="2" width="53.3828125" style="2" customWidth="1"/>
    <col min="3" max="3" width="7.69140625" style="37" bestFit="1" customWidth="1"/>
    <col min="4" max="8" width="8.3828125" style="37" customWidth="1"/>
    <col min="9" max="9" width="1" style="37" customWidth="1"/>
    <col min="10" max="10" width="9.53515625" style="2" bestFit="1" customWidth="1"/>
    <col min="11" max="16384" width="9.15234375" style="2"/>
  </cols>
  <sheetData>
    <row r="1" spans="1:10" ht="15" customHeight="1" x14ac:dyDescent="0.4">
      <c r="A1" s="295" t="s">
        <v>241</v>
      </c>
      <c r="B1" s="295"/>
      <c r="C1" s="295"/>
      <c r="D1" s="295"/>
      <c r="E1" s="295"/>
      <c r="F1" s="295"/>
      <c r="G1" s="295"/>
      <c r="H1" s="295"/>
      <c r="I1" s="295"/>
      <c r="J1" s="295"/>
    </row>
    <row r="2" spans="1:10" ht="15" customHeight="1" x14ac:dyDescent="0.4">
      <c r="A2" s="295" t="s">
        <v>0</v>
      </c>
      <c r="B2" s="295"/>
      <c r="C2" s="295"/>
      <c r="D2" s="295"/>
      <c r="E2" s="295"/>
      <c r="F2" s="295"/>
      <c r="G2" s="295"/>
      <c r="H2" s="295"/>
      <c r="I2" s="295"/>
      <c r="J2" s="295"/>
    </row>
    <row r="3" spans="1:10" ht="15" customHeight="1" x14ac:dyDescent="0.4">
      <c r="A3" s="295" t="s">
        <v>248</v>
      </c>
      <c r="B3" s="295"/>
      <c r="C3" s="295"/>
      <c r="D3" s="295"/>
      <c r="E3" s="295"/>
      <c r="F3" s="295"/>
      <c r="G3" s="295"/>
      <c r="H3" s="295"/>
      <c r="I3" s="295"/>
      <c r="J3" s="295"/>
    </row>
    <row r="4" spans="1:10" ht="15" customHeight="1" x14ac:dyDescent="0.4">
      <c r="A4" s="191"/>
      <c r="B4" s="191"/>
      <c r="C4" s="57"/>
      <c r="D4" s="57"/>
      <c r="E4" s="57"/>
      <c r="F4" s="57"/>
      <c r="G4" s="57"/>
      <c r="H4" s="57"/>
      <c r="I4" s="57"/>
    </row>
    <row r="5" spans="1:10" x14ac:dyDescent="0.4">
      <c r="A5" s="58" t="s">
        <v>1</v>
      </c>
      <c r="B5" s="59" t="s">
        <v>2</v>
      </c>
      <c r="C5" s="166" t="s">
        <v>16</v>
      </c>
      <c r="D5" s="166" t="s">
        <v>244</v>
      </c>
      <c r="E5" s="166" t="s">
        <v>245</v>
      </c>
      <c r="F5" s="166" t="s">
        <v>246</v>
      </c>
      <c r="G5" s="166" t="s">
        <v>247</v>
      </c>
      <c r="H5" s="166" t="s">
        <v>249</v>
      </c>
      <c r="I5" s="166"/>
      <c r="J5" s="166" t="s">
        <v>17</v>
      </c>
    </row>
    <row r="6" spans="1:10" x14ac:dyDescent="0.4">
      <c r="A6" s="62"/>
      <c r="B6" s="63" t="s">
        <v>18</v>
      </c>
      <c r="C6" s="167"/>
      <c r="D6" s="167"/>
      <c r="E6" s="167"/>
      <c r="F6" s="167"/>
      <c r="G6" s="167"/>
      <c r="H6" s="167"/>
      <c r="I6" s="167"/>
      <c r="J6" s="167"/>
    </row>
    <row r="7" spans="1:10" x14ac:dyDescent="0.4">
      <c r="A7" s="62"/>
      <c r="B7" s="63" t="s">
        <v>20</v>
      </c>
      <c r="C7" s="167"/>
      <c r="D7" s="167"/>
      <c r="E7" s="167"/>
      <c r="F7" s="167"/>
      <c r="G7" s="167"/>
      <c r="H7" s="167"/>
      <c r="I7" s="167"/>
      <c r="J7" s="167"/>
    </row>
    <row r="8" spans="1:10" x14ac:dyDescent="0.4">
      <c r="A8" s="62" t="s">
        <v>21</v>
      </c>
      <c r="B8" s="63" t="s">
        <v>22</v>
      </c>
      <c r="C8" s="168">
        <v>0</v>
      </c>
      <c r="D8" s="168"/>
      <c r="E8" s="168"/>
      <c r="F8" s="168"/>
      <c r="G8" s="168"/>
      <c r="H8" s="168"/>
      <c r="I8" s="168"/>
      <c r="J8" s="219">
        <f>SUM(C8:I8)</f>
        <v>0</v>
      </c>
    </row>
    <row r="9" spans="1:10" x14ac:dyDescent="0.4">
      <c r="A9" s="62"/>
      <c r="B9" s="63" t="s">
        <v>26</v>
      </c>
      <c r="C9" s="168">
        <v>0</v>
      </c>
      <c r="D9" s="168"/>
      <c r="E9" s="168"/>
      <c r="F9" s="168"/>
      <c r="G9" s="168"/>
      <c r="H9" s="168"/>
      <c r="I9" s="168"/>
      <c r="J9" s="219">
        <f t="shared" ref="J9:J15" si="0">SUM(C9:I9)</f>
        <v>0</v>
      </c>
    </row>
    <row r="10" spans="1:10" x14ac:dyDescent="0.4">
      <c r="A10" s="62" t="s">
        <v>25</v>
      </c>
      <c r="B10" s="63" t="s">
        <v>28</v>
      </c>
      <c r="C10" s="168">
        <v>0</v>
      </c>
      <c r="D10" s="168"/>
      <c r="E10" s="168"/>
      <c r="F10" s="168"/>
      <c r="G10" s="168"/>
      <c r="H10" s="168"/>
      <c r="I10" s="168"/>
      <c r="J10" s="219">
        <f t="shared" si="0"/>
        <v>0</v>
      </c>
    </row>
    <row r="11" spans="1:10" x14ac:dyDescent="0.4">
      <c r="A11" s="62" t="s">
        <v>27</v>
      </c>
      <c r="B11" s="63" t="s">
        <v>30</v>
      </c>
      <c r="C11" s="168">
        <v>0</v>
      </c>
      <c r="D11" s="168"/>
      <c r="E11" s="168"/>
      <c r="F11" s="168"/>
      <c r="G11" s="168"/>
      <c r="H11" s="168"/>
      <c r="I11" s="168"/>
      <c r="J11" s="219">
        <f t="shared" si="0"/>
        <v>0</v>
      </c>
    </row>
    <row r="12" spans="1:10" x14ac:dyDescent="0.4">
      <c r="A12" s="62" t="s">
        <v>29</v>
      </c>
      <c r="B12" s="63" t="s">
        <v>45</v>
      </c>
      <c r="C12" s="132">
        <v>11140</v>
      </c>
      <c r="D12" s="132">
        <v>22391.25</v>
      </c>
      <c r="E12" s="132">
        <v>20876.71</v>
      </c>
      <c r="F12" s="132">
        <v>22827.86</v>
      </c>
      <c r="G12" s="132">
        <v>23503.72</v>
      </c>
      <c r="H12" s="168">
        <v>16159.62</v>
      </c>
      <c r="I12" s="168"/>
      <c r="J12" s="219">
        <f t="shared" si="0"/>
        <v>116899.16</v>
      </c>
    </row>
    <row r="13" spans="1:10" x14ac:dyDescent="0.4">
      <c r="A13" s="62" t="s">
        <v>44</v>
      </c>
      <c r="B13" s="63" t="s">
        <v>47</v>
      </c>
      <c r="C13" s="168">
        <v>0</v>
      </c>
      <c r="D13" s="168"/>
      <c r="E13" s="168"/>
      <c r="F13" s="168"/>
      <c r="G13" s="168"/>
      <c r="H13" s="168"/>
      <c r="I13" s="168"/>
      <c r="J13" s="219">
        <f t="shared" si="0"/>
        <v>0</v>
      </c>
    </row>
    <row r="14" spans="1:10" x14ac:dyDescent="0.4">
      <c r="A14" s="62" t="s">
        <v>46</v>
      </c>
      <c r="B14" s="63" t="s">
        <v>49</v>
      </c>
      <c r="C14" s="168">
        <v>0</v>
      </c>
      <c r="D14" s="168"/>
      <c r="E14" s="168"/>
      <c r="F14" s="168"/>
      <c r="G14" s="168"/>
      <c r="H14" s="168"/>
      <c r="I14" s="168"/>
      <c r="J14" s="219">
        <f t="shared" si="0"/>
        <v>0</v>
      </c>
    </row>
    <row r="15" spans="1:10" x14ac:dyDescent="0.4">
      <c r="A15" s="62" t="s">
        <v>48</v>
      </c>
      <c r="B15" s="63" t="s">
        <v>53</v>
      </c>
      <c r="C15" s="169">
        <v>0</v>
      </c>
      <c r="D15" s="215"/>
      <c r="E15" s="215"/>
      <c r="F15" s="215"/>
      <c r="G15" s="215"/>
      <c r="H15" s="215"/>
      <c r="I15" s="215"/>
      <c r="J15" s="215">
        <f t="shared" si="0"/>
        <v>0</v>
      </c>
    </row>
    <row r="16" spans="1:10" x14ac:dyDescent="0.4">
      <c r="A16" s="62" t="s">
        <v>52</v>
      </c>
      <c r="B16" s="63" t="s">
        <v>54</v>
      </c>
      <c r="C16" s="169">
        <f t="shared" ref="C16:H16" si="1">SUM(C8:C15)</f>
        <v>11140</v>
      </c>
      <c r="D16" s="169">
        <f t="shared" si="1"/>
        <v>22391.25</v>
      </c>
      <c r="E16" s="169">
        <f t="shared" si="1"/>
        <v>20876.71</v>
      </c>
      <c r="F16" s="169">
        <f t="shared" si="1"/>
        <v>22827.86</v>
      </c>
      <c r="G16" s="169">
        <f t="shared" si="1"/>
        <v>23503.72</v>
      </c>
      <c r="H16" s="169">
        <f t="shared" si="1"/>
        <v>16159.62</v>
      </c>
      <c r="I16" s="169"/>
      <c r="J16" s="169">
        <f>SUM(J8:J15)</f>
        <v>116899.16</v>
      </c>
    </row>
    <row r="17" spans="1:10" x14ac:dyDescent="0.4">
      <c r="A17" s="62"/>
      <c r="B17" s="63"/>
      <c r="C17" s="167"/>
      <c r="D17" s="167"/>
      <c r="E17" s="167"/>
      <c r="F17" s="167"/>
      <c r="G17" s="167"/>
      <c r="H17" s="167"/>
      <c r="I17" s="167"/>
      <c r="J17" s="167"/>
    </row>
    <row r="18" spans="1:10" x14ac:dyDescent="0.4">
      <c r="A18" s="62"/>
      <c r="B18" s="63" t="s">
        <v>55</v>
      </c>
      <c r="C18" s="167"/>
      <c r="D18" s="167"/>
      <c r="E18" s="167"/>
      <c r="F18" s="167"/>
      <c r="G18" s="167"/>
      <c r="H18" s="167"/>
      <c r="I18" s="167"/>
      <c r="J18" s="167"/>
    </row>
    <row r="19" spans="1:10" x14ac:dyDescent="0.4">
      <c r="A19" s="62"/>
      <c r="B19" s="63" t="s">
        <v>56</v>
      </c>
      <c r="C19" s="168">
        <f t="shared" ref="C19:H19" si="2">+C43</f>
        <v>16937.829999999998</v>
      </c>
      <c r="D19" s="168">
        <f t="shared" si="2"/>
        <v>13513.350000000002</v>
      </c>
      <c r="E19" s="168">
        <f t="shared" si="2"/>
        <v>13645.247399999998</v>
      </c>
      <c r="F19" s="168">
        <f t="shared" si="2"/>
        <v>12790.3</v>
      </c>
      <c r="G19" s="168">
        <f t="shared" si="2"/>
        <v>13480.41</v>
      </c>
      <c r="H19" s="168">
        <f t="shared" si="2"/>
        <v>13036.619999999999</v>
      </c>
      <c r="I19" s="168"/>
      <c r="J19" s="219">
        <f>SUM(C19:I19)</f>
        <v>83403.757400000002</v>
      </c>
    </row>
    <row r="20" spans="1:10" x14ac:dyDescent="0.4">
      <c r="A20" s="62"/>
      <c r="B20" s="63" t="s">
        <v>57</v>
      </c>
      <c r="C20" s="168">
        <f t="shared" ref="C20:H20" si="3">+C56</f>
        <v>0</v>
      </c>
      <c r="D20" s="168">
        <f t="shared" si="3"/>
        <v>0</v>
      </c>
      <c r="E20" s="168">
        <f t="shared" si="3"/>
        <v>0</v>
      </c>
      <c r="F20" s="168">
        <f t="shared" si="3"/>
        <v>0</v>
      </c>
      <c r="G20" s="168">
        <f t="shared" si="3"/>
        <v>0</v>
      </c>
      <c r="H20" s="168">
        <f t="shared" si="3"/>
        <v>0</v>
      </c>
      <c r="I20" s="168"/>
      <c r="J20" s="219">
        <f t="shared" ref="J20:J23" si="4">SUM(C20:I20)</f>
        <v>0</v>
      </c>
    </row>
    <row r="21" spans="1:10" x14ac:dyDescent="0.4">
      <c r="A21" s="62"/>
      <c r="B21" s="63" t="s">
        <v>58</v>
      </c>
      <c r="C21" s="168">
        <f t="shared" ref="C21:H21" si="5">+C81</f>
        <v>2075</v>
      </c>
      <c r="D21" s="168">
        <f t="shared" si="5"/>
        <v>1450</v>
      </c>
      <c r="E21" s="168">
        <f t="shared" si="5"/>
        <v>5090</v>
      </c>
      <c r="F21" s="168">
        <f t="shared" si="5"/>
        <v>1456.78</v>
      </c>
      <c r="G21" s="168">
        <f t="shared" si="5"/>
        <v>4453.6299999999992</v>
      </c>
      <c r="H21" s="168">
        <f t="shared" si="5"/>
        <v>7498.57</v>
      </c>
      <c r="I21" s="168"/>
      <c r="J21" s="219">
        <f t="shared" si="4"/>
        <v>22023.98</v>
      </c>
    </row>
    <row r="22" spans="1:10" x14ac:dyDescent="0.4">
      <c r="A22" s="62"/>
      <c r="B22" s="63" t="s">
        <v>59</v>
      </c>
      <c r="C22" s="168">
        <f t="shared" ref="C22:H22" si="6">+C88</f>
        <v>0</v>
      </c>
      <c r="D22" s="168">
        <f t="shared" si="6"/>
        <v>0</v>
      </c>
      <c r="E22" s="168">
        <f t="shared" si="6"/>
        <v>0</v>
      </c>
      <c r="F22" s="168">
        <f t="shared" si="6"/>
        <v>0</v>
      </c>
      <c r="G22" s="168">
        <f t="shared" si="6"/>
        <v>0</v>
      </c>
      <c r="H22" s="168">
        <f t="shared" si="6"/>
        <v>0</v>
      </c>
      <c r="I22" s="168"/>
      <c r="J22" s="219">
        <f t="shared" si="4"/>
        <v>0</v>
      </c>
    </row>
    <row r="23" spans="1:10" x14ac:dyDescent="0.4">
      <c r="A23" s="62"/>
      <c r="B23" s="63" t="s">
        <v>60</v>
      </c>
      <c r="C23" s="169">
        <f t="shared" ref="C23:H23" si="7">+C96</f>
        <v>0</v>
      </c>
      <c r="D23" s="169">
        <f t="shared" si="7"/>
        <v>0</v>
      </c>
      <c r="E23" s="169">
        <f t="shared" si="7"/>
        <v>0</v>
      </c>
      <c r="F23" s="169">
        <f t="shared" si="7"/>
        <v>0</v>
      </c>
      <c r="G23" s="169">
        <f t="shared" si="7"/>
        <v>0</v>
      </c>
      <c r="H23" s="169">
        <f t="shared" si="7"/>
        <v>0</v>
      </c>
      <c r="I23" s="215"/>
      <c r="J23" s="215">
        <f t="shared" si="4"/>
        <v>0</v>
      </c>
    </row>
    <row r="24" spans="1:10" x14ac:dyDescent="0.4">
      <c r="A24" s="62"/>
      <c r="B24" s="63" t="s">
        <v>62</v>
      </c>
      <c r="C24" s="169">
        <f t="shared" ref="C24:H24" si="8">SUM(C19:C23)</f>
        <v>19012.829999999998</v>
      </c>
      <c r="D24" s="169">
        <f t="shared" si="8"/>
        <v>14963.350000000002</v>
      </c>
      <c r="E24" s="169">
        <f t="shared" si="8"/>
        <v>18735.2474</v>
      </c>
      <c r="F24" s="169">
        <f t="shared" si="8"/>
        <v>14247.08</v>
      </c>
      <c r="G24" s="169">
        <f t="shared" si="8"/>
        <v>17934.04</v>
      </c>
      <c r="H24" s="169">
        <f t="shared" si="8"/>
        <v>20535.189999999999</v>
      </c>
      <c r="I24" s="169"/>
      <c r="J24" s="169">
        <f>SUM(J19:J23)</f>
        <v>105427.7374</v>
      </c>
    </row>
    <row r="25" spans="1:10" x14ac:dyDescent="0.4">
      <c r="A25" s="62"/>
      <c r="B25" s="63"/>
      <c r="C25" s="167"/>
      <c r="D25" s="167"/>
      <c r="E25" s="167"/>
      <c r="F25" s="167"/>
      <c r="G25" s="167"/>
      <c r="H25" s="167"/>
      <c r="I25" s="167"/>
      <c r="J25" s="167"/>
    </row>
    <row r="26" spans="1:10" s="37" customFormat="1" x14ac:dyDescent="0.4">
      <c r="A26" s="67"/>
      <c r="B26" s="63" t="s">
        <v>63</v>
      </c>
      <c r="C26" s="167"/>
      <c r="D26" s="167"/>
      <c r="E26" s="167"/>
      <c r="F26" s="167"/>
      <c r="G26" s="167"/>
      <c r="H26" s="167"/>
      <c r="I26" s="167"/>
      <c r="J26" s="167"/>
    </row>
    <row r="27" spans="1:10" x14ac:dyDescent="0.4">
      <c r="A27" s="62" t="s">
        <v>64</v>
      </c>
      <c r="B27" s="63" t="s">
        <v>65</v>
      </c>
      <c r="C27" s="169">
        <f t="shared" ref="C27:H27" si="9">+C105</f>
        <v>3937.37</v>
      </c>
      <c r="D27" s="169">
        <f t="shared" si="9"/>
        <v>0</v>
      </c>
      <c r="E27" s="169">
        <f t="shared" si="9"/>
        <v>6047</v>
      </c>
      <c r="F27" s="169">
        <f t="shared" si="9"/>
        <v>3916.67</v>
      </c>
      <c r="G27" s="169">
        <f t="shared" si="9"/>
        <v>3916.67</v>
      </c>
      <c r="H27" s="169">
        <f t="shared" si="9"/>
        <v>0</v>
      </c>
      <c r="I27" s="169"/>
      <c r="J27" s="169">
        <f>SUM(C27:I27)</f>
        <v>17817.71</v>
      </c>
    </row>
    <row r="28" spans="1:10" x14ac:dyDescent="0.4">
      <c r="A28" s="62"/>
      <c r="B28" s="63" t="s">
        <v>70</v>
      </c>
      <c r="C28" s="169">
        <f t="shared" ref="C28:H28" si="10">SUM(C27)</f>
        <v>3937.37</v>
      </c>
      <c r="D28" s="169">
        <f t="shared" si="10"/>
        <v>0</v>
      </c>
      <c r="E28" s="169">
        <f t="shared" si="10"/>
        <v>6047</v>
      </c>
      <c r="F28" s="169">
        <f t="shared" si="10"/>
        <v>3916.67</v>
      </c>
      <c r="G28" s="169">
        <f t="shared" si="10"/>
        <v>3916.67</v>
      </c>
      <c r="H28" s="169">
        <f t="shared" si="10"/>
        <v>0</v>
      </c>
      <c r="I28" s="169"/>
      <c r="J28" s="169">
        <f>SUM(J27)</f>
        <v>17817.71</v>
      </c>
    </row>
    <row r="29" spans="1:10" x14ac:dyDescent="0.4">
      <c r="A29" s="62"/>
      <c r="B29" s="63"/>
      <c r="C29" s="167"/>
      <c r="D29" s="167"/>
      <c r="E29" s="167"/>
      <c r="F29" s="167"/>
      <c r="G29" s="167"/>
      <c r="H29" s="167"/>
      <c r="I29" s="167"/>
      <c r="J29" s="167"/>
    </row>
    <row r="30" spans="1:10" x14ac:dyDescent="0.4">
      <c r="A30" s="62"/>
      <c r="B30" s="63" t="s">
        <v>71</v>
      </c>
      <c r="C30" s="168">
        <f t="shared" ref="C30:H30" si="11">+C24+C28</f>
        <v>22950.199999999997</v>
      </c>
      <c r="D30" s="168">
        <f t="shared" si="11"/>
        <v>14963.350000000002</v>
      </c>
      <c r="E30" s="168">
        <f t="shared" si="11"/>
        <v>24782.2474</v>
      </c>
      <c r="F30" s="168">
        <f t="shared" si="11"/>
        <v>18163.75</v>
      </c>
      <c r="G30" s="168">
        <f t="shared" si="11"/>
        <v>21850.71</v>
      </c>
      <c r="H30" s="168">
        <f t="shared" si="11"/>
        <v>20535.189999999999</v>
      </c>
      <c r="I30" s="168"/>
      <c r="J30" s="168">
        <f>+J24+J28</f>
        <v>123245.4474</v>
      </c>
    </row>
    <row r="31" spans="1:10" x14ac:dyDescent="0.4">
      <c r="A31" s="62"/>
      <c r="B31" s="63"/>
      <c r="C31" s="168"/>
      <c r="D31" s="168"/>
      <c r="E31" s="168"/>
      <c r="F31" s="168"/>
      <c r="G31" s="168"/>
      <c r="H31" s="168"/>
      <c r="I31" s="168"/>
      <c r="J31" s="168"/>
    </row>
    <row r="32" spans="1:10" ht="15" thickBot="1" x14ac:dyDescent="0.45">
      <c r="A32" s="62"/>
      <c r="B32" s="63" t="s">
        <v>72</v>
      </c>
      <c r="C32" s="183">
        <f t="shared" ref="C32:H32" si="12">+C16-C30</f>
        <v>-11810.199999999997</v>
      </c>
      <c r="D32" s="183">
        <f t="shared" si="12"/>
        <v>7427.8999999999978</v>
      </c>
      <c r="E32" s="183">
        <f t="shared" si="12"/>
        <v>-3905.5374000000011</v>
      </c>
      <c r="F32" s="183">
        <f t="shared" si="12"/>
        <v>4664.1100000000006</v>
      </c>
      <c r="G32" s="183">
        <f t="shared" si="12"/>
        <v>1653.010000000002</v>
      </c>
      <c r="H32" s="183">
        <f t="shared" si="12"/>
        <v>-4375.5699999999979</v>
      </c>
      <c r="I32" s="183"/>
      <c r="J32" s="183">
        <f>+J16-J30</f>
        <v>-6346.2874000000011</v>
      </c>
    </row>
    <row r="33" spans="1:10" ht="15" thickTop="1" x14ac:dyDescent="0.4">
      <c r="A33" s="62"/>
      <c r="B33" s="63"/>
      <c r="C33" s="167"/>
      <c r="D33" s="167"/>
      <c r="E33" s="167"/>
      <c r="F33" s="167"/>
      <c r="G33" s="167"/>
      <c r="H33" s="167"/>
      <c r="I33" s="167"/>
      <c r="J33" s="167"/>
    </row>
    <row r="34" spans="1:10" x14ac:dyDescent="0.4">
      <c r="A34" s="62" t="s">
        <v>77</v>
      </c>
      <c r="B34" s="63" t="s">
        <v>73</v>
      </c>
      <c r="C34" s="167"/>
      <c r="D34" s="167"/>
      <c r="E34" s="167"/>
      <c r="F34" s="167"/>
      <c r="G34" s="167"/>
      <c r="H34" s="167"/>
      <c r="I34" s="167"/>
      <c r="J34" s="167"/>
    </row>
    <row r="35" spans="1:10" x14ac:dyDescent="0.4">
      <c r="A35" s="62" t="s">
        <v>79</v>
      </c>
      <c r="B35" s="63" t="s">
        <v>74</v>
      </c>
      <c r="C35" s="167"/>
      <c r="D35" s="167"/>
      <c r="E35" s="167"/>
      <c r="F35" s="167"/>
      <c r="G35" s="167"/>
      <c r="H35" s="167"/>
      <c r="I35" s="167"/>
      <c r="J35" s="167"/>
    </row>
    <row r="36" spans="1:10" x14ac:dyDescent="0.4">
      <c r="A36" s="62" t="s">
        <v>81</v>
      </c>
      <c r="B36" s="63" t="s">
        <v>76</v>
      </c>
      <c r="C36" s="168">
        <v>14087.22</v>
      </c>
      <c r="D36" s="168">
        <v>10960</v>
      </c>
      <c r="E36" s="168">
        <f>5350+5625.37</f>
        <v>10975.369999999999</v>
      </c>
      <c r="F36" s="168">
        <f>5020+5180</f>
        <v>10200</v>
      </c>
      <c r="G36" s="168">
        <f>5580+5250</f>
        <v>10830</v>
      </c>
      <c r="H36" s="168">
        <f>5320+5100</f>
        <v>10420</v>
      </c>
      <c r="I36" s="168"/>
      <c r="J36" s="219">
        <f>SUM(C36:I36)</f>
        <v>67472.59</v>
      </c>
    </row>
    <row r="37" spans="1:10" x14ac:dyDescent="0.4">
      <c r="A37" s="62" t="s">
        <v>83</v>
      </c>
      <c r="B37" s="63" t="s">
        <v>78</v>
      </c>
      <c r="C37" s="168">
        <v>1077.67</v>
      </c>
      <c r="D37" s="168">
        <v>838.44</v>
      </c>
      <c r="E37" s="168">
        <f>77.58+331.7+81.55+348.8</f>
        <v>839.63</v>
      </c>
      <c r="F37" s="168">
        <f>72.79+311.24+321.16+75.11</f>
        <v>780.30000000000007</v>
      </c>
      <c r="G37" s="168">
        <f>426.87+401.63</f>
        <v>828.5</v>
      </c>
      <c r="H37" s="168">
        <f>77.14+329.84+73.95+316.2</f>
        <v>797.12999999999988</v>
      </c>
      <c r="I37" s="168"/>
      <c r="J37" s="219">
        <f t="shared" ref="J37:J42" si="13">SUM(C37:I37)</f>
        <v>5161.670000000001</v>
      </c>
    </row>
    <row r="38" spans="1:10" x14ac:dyDescent="0.4">
      <c r="A38" s="62" t="s">
        <v>85</v>
      </c>
      <c r="B38" s="63" t="s">
        <v>80</v>
      </c>
      <c r="C38" s="168">
        <v>0</v>
      </c>
      <c r="D38" s="168">
        <v>0</v>
      </c>
      <c r="E38" s="168">
        <v>0</v>
      </c>
      <c r="F38" s="168">
        <v>0</v>
      </c>
      <c r="G38" s="168">
        <v>0</v>
      </c>
      <c r="H38" s="168">
        <v>0</v>
      </c>
      <c r="I38" s="168"/>
      <c r="J38" s="219">
        <f t="shared" si="13"/>
        <v>0</v>
      </c>
    </row>
    <row r="39" spans="1:10" x14ac:dyDescent="0.4">
      <c r="A39" s="62" t="s">
        <v>87</v>
      </c>
      <c r="B39" s="63" t="s">
        <v>82</v>
      </c>
      <c r="C39" s="168">
        <v>281.74</v>
      </c>
      <c r="D39" s="168">
        <v>219.2</v>
      </c>
      <c r="E39" s="168">
        <f>+E36*0.02</f>
        <v>219.50739999999999</v>
      </c>
      <c r="F39" s="168">
        <f>+F36*0.02</f>
        <v>204</v>
      </c>
      <c r="G39" s="168">
        <f>+G36*0.02</f>
        <v>216.6</v>
      </c>
      <c r="H39" s="168">
        <f>+H36*0.02</f>
        <v>208.4</v>
      </c>
      <c r="I39" s="168"/>
      <c r="J39" s="219">
        <f t="shared" si="13"/>
        <v>1349.4474</v>
      </c>
    </row>
    <row r="40" spans="1:10" x14ac:dyDescent="0.4">
      <c r="A40" s="62"/>
      <c r="B40" s="63" t="s">
        <v>84</v>
      </c>
      <c r="C40" s="168">
        <v>195.49</v>
      </c>
      <c r="D40" s="168">
        <v>200</v>
      </c>
      <c r="E40" s="168">
        <f>100+100</f>
        <v>200</v>
      </c>
      <c r="F40" s="168">
        <f>100+100</f>
        <v>200</v>
      </c>
      <c r="G40" s="168">
        <f>100+100</f>
        <v>200</v>
      </c>
      <c r="H40" s="168">
        <f>100+100</f>
        <v>200</v>
      </c>
      <c r="I40" s="168"/>
      <c r="J40" s="219">
        <f t="shared" si="13"/>
        <v>1195.49</v>
      </c>
    </row>
    <row r="41" spans="1:10" x14ac:dyDescent="0.4">
      <c r="A41" s="62"/>
      <c r="B41" s="63" t="s">
        <v>86</v>
      </c>
      <c r="C41" s="168">
        <v>1295.71</v>
      </c>
      <c r="D41" s="168">
        <v>1295.71</v>
      </c>
      <c r="E41" s="168">
        <v>1410.74</v>
      </c>
      <c r="F41" s="168">
        <v>1406</v>
      </c>
      <c r="G41" s="168">
        <v>1405.31</v>
      </c>
      <c r="H41" s="168">
        <v>1411.09</v>
      </c>
      <c r="I41" s="168"/>
      <c r="J41" s="219">
        <f t="shared" si="13"/>
        <v>8224.56</v>
      </c>
    </row>
    <row r="42" spans="1:10" x14ac:dyDescent="0.4">
      <c r="A42" s="62"/>
      <c r="B42" s="63" t="s">
        <v>88</v>
      </c>
      <c r="C42" s="170">
        <v>0</v>
      </c>
      <c r="D42" s="227">
        <v>0</v>
      </c>
      <c r="E42" s="227">
        <v>0</v>
      </c>
      <c r="F42" s="227">
        <v>0</v>
      </c>
      <c r="G42" s="227">
        <v>0</v>
      </c>
      <c r="H42" s="227">
        <v>0</v>
      </c>
      <c r="I42" s="227"/>
      <c r="J42" s="215">
        <f t="shared" si="13"/>
        <v>0</v>
      </c>
    </row>
    <row r="43" spans="1:10" x14ac:dyDescent="0.4">
      <c r="A43" s="62"/>
      <c r="B43" s="63" t="s">
        <v>89</v>
      </c>
      <c r="C43" s="169">
        <f t="shared" ref="C43:H43" si="14">SUM(C36:C42)</f>
        <v>16937.829999999998</v>
      </c>
      <c r="D43" s="169">
        <f t="shared" si="14"/>
        <v>13513.350000000002</v>
      </c>
      <c r="E43" s="169">
        <f t="shared" si="14"/>
        <v>13645.247399999998</v>
      </c>
      <c r="F43" s="169">
        <f t="shared" si="14"/>
        <v>12790.3</v>
      </c>
      <c r="G43" s="169">
        <f t="shared" si="14"/>
        <v>13480.41</v>
      </c>
      <c r="H43" s="169">
        <f t="shared" si="14"/>
        <v>13036.619999999999</v>
      </c>
      <c r="I43" s="169"/>
      <c r="J43" s="169">
        <f>SUM(J36:J42)</f>
        <v>83403.757400000002</v>
      </c>
    </row>
    <row r="44" spans="1:10" x14ac:dyDescent="0.4">
      <c r="A44" s="62" t="s">
        <v>91</v>
      </c>
      <c r="B44" s="63"/>
      <c r="C44" s="167"/>
      <c r="D44" s="167"/>
      <c r="E44" s="167"/>
      <c r="F44" s="167"/>
      <c r="G44" s="167"/>
      <c r="H44" s="167"/>
      <c r="I44" s="167"/>
      <c r="J44" s="167"/>
    </row>
    <row r="45" spans="1:10" x14ac:dyDescent="0.4">
      <c r="A45" s="62" t="s">
        <v>93</v>
      </c>
      <c r="B45" s="63" t="s">
        <v>57</v>
      </c>
      <c r="C45" s="167"/>
      <c r="D45" s="167"/>
      <c r="E45" s="167"/>
      <c r="F45" s="167"/>
      <c r="G45" s="167"/>
      <c r="H45" s="167"/>
      <c r="I45" s="167"/>
      <c r="J45" s="167"/>
    </row>
    <row r="46" spans="1:10" x14ac:dyDescent="0.4">
      <c r="A46" s="62"/>
      <c r="B46" s="63" t="s">
        <v>90</v>
      </c>
      <c r="C46" s="167"/>
      <c r="D46" s="167"/>
      <c r="E46" s="167"/>
      <c r="F46" s="167"/>
      <c r="G46" s="167"/>
      <c r="H46" s="167"/>
      <c r="I46" s="167"/>
      <c r="J46" s="167"/>
    </row>
    <row r="47" spans="1:10" x14ac:dyDescent="0.4">
      <c r="A47" s="62"/>
      <c r="B47" s="63" t="s">
        <v>92</v>
      </c>
      <c r="C47" s="168">
        <v>0</v>
      </c>
      <c r="D47" s="168"/>
      <c r="E47" s="168"/>
      <c r="F47" s="168"/>
      <c r="G47" s="168"/>
      <c r="H47" s="168"/>
      <c r="I47" s="168"/>
      <c r="J47" s="219">
        <f>SUM(C47:I47)</f>
        <v>0</v>
      </c>
    </row>
    <row r="48" spans="1:10" x14ac:dyDescent="0.4">
      <c r="A48" s="62"/>
      <c r="B48" s="63" t="s">
        <v>94</v>
      </c>
      <c r="C48" s="168">
        <v>0</v>
      </c>
      <c r="D48" s="168"/>
      <c r="E48" s="168"/>
      <c r="F48" s="168"/>
      <c r="G48" s="168"/>
      <c r="H48" s="168"/>
      <c r="I48" s="168"/>
      <c r="J48" s="219">
        <f t="shared" ref="J48:J49" si="15">SUM(C48:I48)</f>
        <v>0</v>
      </c>
    </row>
    <row r="49" spans="1:10" x14ac:dyDescent="0.4">
      <c r="A49" s="62" t="s">
        <v>97</v>
      </c>
      <c r="B49" s="63" t="s">
        <v>95</v>
      </c>
      <c r="C49" s="169">
        <f>SUM(C47:C48)</f>
        <v>0</v>
      </c>
      <c r="D49" s="215"/>
      <c r="E49" s="215"/>
      <c r="F49" s="215"/>
      <c r="G49" s="215"/>
      <c r="H49" s="215"/>
      <c r="I49" s="219"/>
      <c r="J49" s="215">
        <f t="shared" si="15"/>
        <v>0</v>
      </c>
    </row>
    <row r="50" spans="1:10" x14ac:dyDescent="0.4">
      <c r="A50" s="62" t="s">
        <v>99</v>
      </c>
      <c r="B50" s="63"/>
      <c r="C50" s="167"/>
      <c r="D50" s="167"/>
      <c r="E50" s="167"/>
      <c r="F50" s="167"/>
      <c r="G50" s="167"/>
      <c r="H50" s="167"/>
      <c r="I50" s="167"/>
      <c r="J50" s="167"/>
    </row>
    <row r="51" spans="1:10" x14ac:dyDescent="0.4">
      <c r="A51" s="62"/>
      <c r="B51" s="63" t="s">
        <v>96</v>
      </c>
      <c r="C51" s="167"/>
      <c r="D51" s="167"/>
      <c r="E51" s="167"/>
      <c r="F51" s="167"/>
      <c r="G51" s="167"/>
      <c r="H51" s="167"/>
      <c r="I51" s="167"/>
      <c r="J51" s="167"/>
    </row>
    <row r="52" spans="1:10" x14ac:dyDescent="0.4">
      <c r="A52" s="62"/>
      <c r="B52" s="63" t="s">
        <v>98</v>
      </c>
      <c r="C52" s="168">
        <v>0</v>
      </c>
      <c r="D52" s="168"/>
      <c r="E52" s="168"/>
      <c r="F52" s="168"/>
      <c r="G52" s="168"/>
      <c r="H52" s="168"/>
      <c r="I52" s="168"/>
      <c r="J52" s="219">
        <f>SUM(C52:I52)</f>
        <v>0</v>
      </c>
    </row>
    <row r="53" spans="1:10" x14ac:dyDescent="0.4">
      <c r="A53" s="62"/>
      <c r="B53" s="63" t="s">
        <v>100</v>
      </c>
      <c r="C53" s="169">
        <v>0</v>
      </c>
      <c r="D53" s="215"/>
      <c r="E53" s="215"/>
      <c r="F53" s="215"/>
      <c r="G53" s="215"/>
      <c r="H53" s="215"/>
      <c r="I53" s="215"/>
      <c r="J53" s="215">
        <f>SUM(C53:I53)</f>
        <v>0</v>
      </c>
    </row>
    <row r="54" spans="1:10" x14ac:dyDescent="0.4">
      <c r="A54" s="62"/>
      <c r="B54" s="63" t="s">
        <v>101</v>
      </c>
      <c r="C54" s="169">
        <f>SUM(C52:C53)</f>
        <v>0</v>
      </c>
      <c r="D54" s="169">
        <f>SUM(D52:D53)</f>
        <v>0</v>
      </c>
      <c r="E54" s="169">
        <v>0</v>
      </c>
      <c r="F54" s="169">
        <v>0</v>
      </c>
      <c r="G54" s="169">
        <v>0</v>
      </c>
      <c r="H54" s="169"/>
      <c r="I54" s="169"/>
      <c r="J54" s="169">
        <f>SUM(J52:J53)</f>
        <v>0</v>
      </c>
    </row>
    <row r="55" spans="1:10" x14ac:dyDescent="0.4">
      <c r="A55" s="62"/>
      <c r="B55" s="63"/>
      <c r="C55" s="167"/>
      <c r="D55" s="167"/>
      <c r="E55" s="167"/>
      <c r="F55" s="167"/>
      <c r="G55" s="167"/>
      <c r="H55" s="167"/>
      <c r="I55" s="167"/>
      <c r="J55" s="167"/>
    </row>
    <row r="56" spans="1:10" x14ac:dyDescent="0.4">
      <c r="A56" s="62" t="s">
        <v>104</v>
      </c>
      <c r="B56" s="63" t="s">
        <v>102</v>
      </c>
      <c r="C56" s="169">
        <f>+C49+C54</f>
        <v>0</v>
      </c>
      <c r="D56" s="169">
        <f>+D49+D54</f>
        <v>0</v>
      </c>
      <c r="E56" s="169">
        <v>0</v>
      </c>
      <c r="F56" s="169">
        <v>0</v>
      </c>
      <c r="G56" s="169">
        <v>0</v>
      </c>
      <c r="H56" s="169"/>
      <c r="I56" s="169"/>
      <c r="J56" s="169">
        <f>+J49+J54</f>
        <v>0</v>
      </c>
    </row>
    <row r="57" spans="1:10" x14ac:dyDescent="0.4">
      <c r="A57" s="62" t="s">
        <v>106</v>
      </c>
      <c r="B57" s="63"/>
      <c r="C57" s="167"/>
      <c r="D57" s="167"/>
      <c r="E57" s="167"/>
      <c r="F57" s="167"/>
      <c r="G57" s="167"/>
      <c r="H57" s="167"/>
      <c r="I57" s="167"/>
      <c r="J57" s="167"/>
    </row>
    <row r="58" spans="1:10" x14ac:dyDescent="0.4">
      <c r="A58" s="62" t="s">
        <v>108</v>
      </c>
      <c r="B58" s="63" t="s">
        <v>103</v>
      </c>
      <c r="C58" s="167"/>
      <c r="D58" s="167"/>
      <c r="E58" s="167"/>
      <c r="F58" s="167"/>
      <c r="G58" s="167"/>
      <c r="H58" s="167"/>
      <c r="I58" s="167"/>
      <c r="J58" s="167"/>
    </row>
    <row r="59" spans="1:10" x14ac:dyDescent="0.4">
      <c r="A59" s="62" t="s">
        <v>110</v>
      </c>
      <c r="B59" s="63" t="s">
        <v>105</v>
      </c>
      <c r="C59" s="168">
        <v>0</v>
      </c>
      <c r="D59" s="168"/>
      <c r="E59" s="168"/>
      <c r="F59" s="168"/>
      <c r="G59" s="168"/>
      <c r="H59" s="168"/>
      <c r="I59" s="168"/>
      <c r="J59" s="219">
        <f>SUM(C59:I59)</f>
        <v>0</v>
      </c>
    </row>
    <row r="60" spans="1:10" x14ac:dyDescent="0.4">
      <c r="A60" s="62" t="s">
        <v>114</v>
      </c>
      <c r="B60" s="63" t="s">
        <v>107</v>
      </c>
      <c r="C60" s="168">
        <v>0</v>
      </c>
      <c r="D60" s="168"/>
      <c r="E60" s="168"/>
      <c r="F60" s="168"/>
      <c r="G60" s="168"/>
      <c r="H60" s="168"/>
      <c r="I60" s="168"/>
      <c r="J60" s="219">
        <f t="shared" ref="J60:J80" si="16">SUM(C60:I60)</f>
        <v>0</v>
      </c>
    </row>
    <row r="61" spans="1:10" x14ac:dyDescent="0.4">
      <c r="A61" s="62" t="s">
        <v>116</v>
      </c>
      <c r="B61" s="63" t="s">
        <v>109</v>
      </c>
      <c r="C61" s="168">
        <v>0</v>
      </c>
      <c r="D61" s="168"/>
      <c r="E61" s="168"/>
      <c r="F61" s="168"/>
      <c r="G61" s="168"/>
      <c r="H61" s="168"/>
      <c r="I61" s="168"/>
      <c r="J61" s="219">
        <f t="shared" si="16"/>
        <v>0</v>
      </c>
    </row>
    <row r="62" spans="1:10" x14ac:dyDescent="0.4">
      <c r="A62" s="62" t="s">
        <v>120</v>
      </c>
      <c r="B62" s="63" t="s">
        <v>111</v>
      </c>
      <c r="C62" s="168">
        <v>0</v>
      </c>
      <c r="D62" s="168"/>
      <c r="E62" s="168"/>
      <c r="F62" s="168"/>
      <c r="G62" s="168"/>
      <c r="H62" s="168"/>
      <c r="I62" s="168"/>
      <c r="J62" s="219">
        <f t="shared" si="16"/>
        <v>0</v>
      </c>
    </row>
    <row r="63" spans="1:10" x14ac:dyDescent="0.4">
      <c r="A63" s="62" t="s">
        <v>122</v>
      </c>
      <c r="B63" s="63" t="s">
        <v>115</v>
      </c>
      <c r="C63" s="168">
        <v>1200</v>
      </c>
      <c r="D63" s="168">
        <v>575</v>
      </c>
      <c r="E63" s="168">
        <f>130+1200</f>
        <v>1330</v>
      </c>
      <c r="F63" s="168">
        <v>216.67</v>
      </c>
      <c r="G63" s="168">
        <f>1062.5+3283.33</f>
        <v>4345.83</v>
      </c>
      <c r="H63" s="168">
        <f>404.17+2083.33</f>
        <v>2487.5</v>
      </c>
      <c r="I63" s="168"/>
      <c r="J63" s="219">
        <f t="shared" si="16"/>
        <v>10155</v>
      </c>
    </row>
    <row r="64" spans="1:10" x14ac:dyDescent="0.4">
      <c r="A64" s="62" t="s">
        <v>124</v>
      </c>
      <c r="B64" s="63" t="s">
        <v>117</v>
      </c>
      <c r="C64" s="168">
        <v>0</v>
      </c>
      <c r="D64" s="168"/>
      <c r="E64" s="168"/>
      <c r="F64" s="168"/>
      <c r="G64" s="168"/>
      <c r="H64" s="168"/>
      <c r="I64" s="168"/>
      <c r="J64" s="219">
        <f t="shared" si="16"/>
        <v>0</v>
      </c>
    </row>
    <row r="65" spans="1:10" x14ac:dyDescent="0.4">
      <c r="A65" s="62" t="s">
        <v>126</v>
      </c>
      <c r="B65" s="63" t="s">
        <v>121</v>
      </c>
      <c r="C65" s="168">
        <v>0</v>
      </c>
      <c r="D65" s="168"/>
      <c r="E65" s="168"/>
      <c r="F65" s="168"/>
      <c r="G65" s="168"/>
      <c r="H65" s="168"/>
      <c r="I65" s="168"/>
      <c r="J65" s="219">
        <f t="shared" si="16"/>
        <v>0</v>
      </c>
    </row>
    <row r="66" spans="1:10" x14ac:dyDescent="0.4">
      <c r="A66" s="62" t="s">
        <v>128</v>
      </c>
      <c r="B66" s="63" t="s">
        <v>123</v>
      </c>
      <c r="C66" s="168">
        <v>0</v>
      </c>
      <c r="D66" s="168"/>
      <c r="E66" s="168"/>
      <c r="F66" s="168"/>
      <c r="G66" s="168"/>
      <c r="H66" s="168"/>
      <c r="I66" s="168"/>
      <c r="J66" s="219">
        <f t="shared" si="16"/>
        <v>0</v>
      </c>
    </row>
    <row r="67" spans="1:10" x14ac:dyDescent="0.4">
      <c r="A67" s="62" t="s">
        <v>130</v>
      </c>
      <c r="B67" s="63" t="s">
        <v>125</v>
      </c>
      <c r="C67" s="168">
        <v>0</v>
      </c>
      <c r="D67" s="168"/>
      <c r="E67" s="168"/>
      <c r="F67" s="168"/>
      <c r="G67" s="168"/>
      <c r="H67" s="168"/>
      <c r="I67" s="168"/>
      <c r="J67" s="219">
        <f t="shared" si="16"/>
        <v>0</v>
      </c>
    </row>
    <row r="68" spans="1:10" x14ac:dyDescent="0.4">
      <c r="A68" s="62" t="s">
        <v>132</v>
      </c>
      <c r="B68" s="63" t="s">
        <v>127</v>
      </c>
      <c r="C68" s="168">
        <v>0</v>
      </c>
      <c r="D68" s="168"/>
      <c r="E68" s="168"/>
      <c r="F68" s="168"/>
      <c r="G68" s="168"/>
      <c r="H68" s="168"/>
      <c r="I68" s="168"/>
      <c r="J68" s="219">
        <f t="shared" si="16"/>
        <v>0</v>
      </c>
    </row>
    <row r="69" spans="1:10" x14ac:dyDescent="0.4">
      <c r="A69" s="62" t="s">
        <v>134</v>
      </c>
      <c r="B69" s="63" t="s">
        <v>129</v>
      </c>
      <c r="C69" s="168">
        <v>0</v>
      </c>
      <c r="D69" s="168"/>
      <c r="E69" s="168"/>
      <c r="F69" s="168"/>
      <c r="G69" s="168"/>
      <c r="H69" s="168"/>
      <c r="I69" s="168"/>
      <c r="J69" s="219">
        <f t="shared" si="16"/>
        <v>0</v>
      </c>
    </row>
    <row r="70" spans="1:10" x14ac:dyDescent="0.4">
      <c r="A70" s="62" t="s">
        <v>136</v>
      </c>
      <c r="B70" s="63" t="s">
        <v>131</v>
      </c>
      <c r="C70" s="168">
        <v>0</v>
      </c>
      <c r="D70" s="168"/>
      <c r="E70" s="168"/>
      <c r="F70" s="168"/>
      <c r="G70" s="168"/>
      <c r="H70" s="168"/>
      <c r="I70" s="168"/>
      <c r="J70" s="219">
        <f t="shared" si="16"/>
        <v>0</v>
      </c>
    </row>
    <row r="71" spans="1:10" x14ac:dyDescent="0.4">
      <c r="A71" s="62" t="s">
        <v>138</v>
      </c>
      <c r="B71" s="63" t="s">
        <v>133</v>
      </c>
      <c r="C71" s="168">
        <v>0</v>
      </c>
      <c r="D71" s="168"/>
      <c r="E71" s="168"/>
      <c r="F71" s="168"/>
      <c r="G71" s="168"/>
      <c r="H71" s="168"/>
      <c r="I71" s="168"/>
      <c r="J71" s="219">
        <f t="shared" si="16"/>
        <v>0</v>
      </c>
    </row>
    <row r="72" spans="1:10" x14ac:dyDescent="0.4">
      <c r="A72" s="62" t="s">
        <v>140</v>
      </c>
      <c r="B72" s="63" t="s">
        <v>135</v>
      </c>
      <c r="C72" s="168">
        <v>0</v>
      </c>
      <c r="D72" s="168"/>
      <c r="E72" s="168">
        <f>425+60</f>
        <v>485</v>
      </c>
      <c r="F72" s="168">
        <f>29.06+326.62+9.43</f>
        <v>365.11</v>
      </c>
      <c r="G72" s="168">
        <v>45.19</v>
      </c>
      <c r="H72" s="168">
        <f>161.06-16.81+3.66+28.47+263.23</f>
        <v>439.61</v>
      </c>
      <c r="I72" s="168"/>
      <c r="J72" s="219">
        <f t="shared" si="16"/>
        <v>1334.9099999999999</v>
      </c>
    </row>
    <row r="73" spans="1:10" x14ac:dyDescent="0.4">
      <c r="A73" s="62" t="s">
        <v>144</v>
      </c>
      <c r="B73" s="63" t="s">
        <v>137</v>
      </c>
      <c r="C73" s="168">
        <v>875</v>
      </c>
      <c r="D73" s="168">
        <v>875</v>
      </c>
      <c r="E73" s="168">
        <v>875</v>
      </c>
      <c r="F73" s="168">
        <v>875</v>
      </c>
      <c r="G73" s="168">
        <v>62.61</v>
      </c>
      <c r="H73" s="168">
        <v>2171.46</v>
      </c>
      <c r="I73" s="168"/>
      <c r="J73" s="219">
        <f t="shared" si="16"/>
        <v>5734.07</v>
      </c>
    </row>
    <row r="74" spans="1:10" x14ac:dyDescent="0.4">
      <c r="A74" s="62" t="s">
        <v>146</v>
      </c>
      <c r="B74" s="63" t="s">
        <v>139</v>
      </c>
      <c r="C74" s="168">
        <v>0</v>
      </c>
      <c r="D74" s="168"/>
      <c r="E74" s="168"/>
      <c r="F74" s="168"/>
      <c r="G74" s="168"/>
      <c r="H74" s="168"/>
      <c r="I74" s="168"/>
      <c r="J74" s="219">
        <f t="shared" si="16"/>
        <v>0</v>
      </c>
    </row>
    <row r="75" spans="1:10" x14ac:dyDescent="0.4">
      <c r="A75" s="62" t="s">
        <v>148</v>
      </c>
      <c r="B75" s="63" t="s">
        <v>141</v>
      </c>
      <c r="C75" s="168">
        <v>0</v>
      </c>
      <c r="D75" s="168"/>
      <c r="E75" s="168">
        <v>2400</v>
      </c>
      <c r="F75" s="168"/>
      <c r="G75" s="168"/>
      <c r="H75" s="168">
        <v>2400</v>
      </c>
      <c r="I75" s="168"/>
      <c r="J75" s="219">
        <f t="shared" si="16"/>
        <v>4800</v>
      </c>
    </row>
    <row r="76" spans="1:10" x14ac:dyDescent="0.4">
      <c r="A76" s="62" t="s">
        <v>150</v>
      </c>
      <c r="B76" s="63" t="s">
        <v>145</v>
      </c>
      <c r="C76" s="168">
        <v>0</v>
      </c>
      <c r="D76" s="168"/>
      <c r="E76" s="168"/>
      <c r="F76" s="168"/>
      <c r="G76" s="168"/>
      <c r="H76" s="168"/>
      <c r="I76" s="168"/>
      <c r="J76" s="219">
        <f t="shared" si="16"/>
        <v>0</v>
      </c>
    </row>
    <row r="77" spans="1:10" x14ac:dyDescent="0.4">
      <c r="A77" s="62" t="s">
        <v>152</v>
      </c>
      <c r="B77" s="63" t="s">
        <v>147</v>
      </c>
      <c r="C77" s="168">
        <v>0</v>
      </c>
      <c r="D77" s="168"/>
      <c r="E77" s="168"/>
      <c r="F77" s="168"/>
      <c r="G77" s="168"/>
      <c r="H77" s="168"/>
      <c r="I77" s="168"/>
      <c r="J77" s="219">
        <f t="shared" si="16"/>
        <v>0</v>
      </c>
    </row>
    <row r="78" spans="1:10" x14ac:dyDescent="0.4">
      <c r="A78" s="62"/>
      <c r="B78" s="63" t="s">
        <v>149</v>
      </c>
      <c r="C78" s="168">
        <v>0</v>
      </c>
      <c r="D78" s="168"/>
      <c r="E78" s="168"/>
      <c r="F78" s="168"/>
      <c r="G78" s="168"/>
      <c r="H78" s="168"/>
      <c r="I78" s="168"/>
      <c r="J78" s="219">
        <f t="shared" si="16"/>
        <v>0</v>
      </c>
    </row>
    <row r="79" spans="1:10" x14ac:dyDescent="0.4">
      <c r="A79" s="62"/>
      <c r="B79" s="63" t="s">
        <v>151</v>
      </c>
      <c r="C79" s="168">
        <v>0</v>
      </c>
      <c r="D79" s="168"/>
      <c r="E79" s="168"/>
      <c r="F79" s="168"/>
      <c r="G79" s="168"/>
      <c r="H79" s="168"/>
      <c r="I79" s="168"/>
      <c r="J79" s="219">
        <f t="shared" si="16"/>
        <v>0</v>
      </c>
    </row>
    <row r="80" spans="1:10" x14ac:dyDescent="0.4">
      <c r="A80" s="62"/>
      <c r="B80" s="63" t="s">
        <v>153</v>
      </c>
      <c r="C80" s="215">
        <v>0</v>
      </c>
      <c r="D80" s="215"/>
      <c r="E80" s="215"/>
      <c r="F80" s="215"/>
      <c r="G80" s="215"/>
      <c r="H80" s="215"/>
      <c r="I80" s="215"/>
      <c r="J80" s="215">
        <f t="shared" si="16"/>
        <v>0</v>
      </c>
    </row>
    <row r="81" spans="1:10" x14ac:dyDescent="0.4">
      <c r="A81" s="62" t="s">
        <v>157</v>
      </c>
      <c r="B81" s="63" t="s">
        <v>154</v>
      </c>
      <c r="C81" s="169">
        <f t="shared" ref="C81:H81" si="17">SUM(C59:C80)</f>
        <v>2075</v>
      </c>
      <c r="D81" s="169">
        <f t="shared" si="17"/>
        <v>1450</v>
      </c>
      <c r="E81" s="169">
        <f t="shared" si="17"/>
        <v>5090</v>
      </c>
      <c r="F81" s="169">
        <f t="shared" si="17"/>
        <v>1456.78</v>
      </c>
      <c r="G81" s="169">
        <f t="shared" si="17"/>
        <v>4453.6299999999992</v>
      </c>
      <c r="H81" s="169">
        <f t="shared" si="17"/>
        <v>7498.57</v>
      </c>
      <c r="I81" s="169"/>
      <c r="J81" s="169">
        <f>SUM(J59:J80)</f>
        <v>22023.98</v>
      </c>
    </row>
    <row r="82" spans="1:10" x14ac:dyDescent="0.4">
      <c r="A82" s="62" t="s">
        <v>163</v>
      </c>
      <c r="B82" s="63"/>
      <c r="C82" s="167"/>
      <c r="D82" s="167"/>
      <c r="E82" s="167"/>
      <c r="F82" s="167"/>
      <c r="G82" s="167"/>
      <c r="H82" s="167"/>
      <c r="I82" s="167"/>
      <c r="J82" s="167"/>
    </row>
    <row r="83" spans="1:10" x14ac:dyDescent="0.4">
      <c r="A83" s="62"/>
      <c r="B83" s="63" t="s">
        <v>59</v>
      </c>
      <c r="C83" s="167"/>
      <c r="D83" s="167"/>
      <c r="E83" s="167"/>
      <c r="F83" s="167"/>
      <c r="G83" s="167"/>
      <c r="H83" s="167"/>
      <c r="I83" s="167"/>
      <c r="J83" s="167"/>
    </row>
    <row r="84" spans="1:10" x14ac:dyDescent="0.4">
      <c r="A84" s="62" t="s">
        <v>167</v>
      </c>
      <c r="B84" s="63" t="s">
        <v>158</v>
      </c>
      <c r="C84" s="168">
        <v>0</v>
      </c>
      <c r="D84" s="168"/>
      <c r="E84" s="168"/>
      <c r="F84" s="168"/>
      <c r="G84" s="168"/>
      <c r="H84" s="168"/>
      <c r="I84" s="168"/>
      <c r="J84" s="219">
        <f>SUM(C84:I84)</f>
        <v>0</v>
      </c>
    </row>
    <row r="85" spans="1:10" x14ac:dyDescent="0.4">
      <c r="A85" s="62"/>
      <c r="B85" s="63" t="s">
        <v>164</v>
      </c>
      <c r="C85" s="168">
        <v>0</v>
      </c>
      <c r="D85" s="168"/>
      <c r="E85" s="168"/>
      <c r="F85" s="168"/>
      <c r="G85" s="168"/>
      <c r="H85" s="168"/>
      <c r="I85" s="168"/>
      <c r="J85" s="219">
        <f t="shared" ref="J85:J87" si="18">SUM(C85:I85)</f>
        <v>0</v>
      </c>
    </row>
    <row r="86" spans="1:10" x14ac:dyDescent="0.4">
      <c r="A86" s="62"/>
      <c r="B86" s="63" t="s">
        <v>166</v>
      </c>
      <c r="C86" s="168">
        <v>0</v>
      </c>
      <c r="D86" s="168"/>
      <c r="E86" s="168"/>
      <c r="F86" s="168"/>
      <c r="G86" s="168"/>
      <c r="H86" s="168"/>
      <c r="I86" s="168"/>
      <c r="J86" s="219">
        <f t="shared" si="18"/>
        <v>0</v>
      </c>
    </row>
    <row r="87" spans="1:10" x14ac:dyDescent="0.4">
      <c r="A87" s="62"/>
      <c r="B87" s="63" t="s">
        <v>168</v>
      </c>
      <c r="C87" s="215">
        <v>0</v>
      </c>
      <c r="D87" s="215"/>
      <c r="E87" s="215"/>
      <c r="F87" s="215"/>
      <c r="G87" s="215"/>
      <c r="H87" s="215"/>
      <c r="I87" s="215"/>
      <c r="J87" s="215">
        <f t="shared" si="18"/>
        <v>0</v>
      </c>
    </row>
    <row r="88" spans="1:10" x14ac:dyDescent="0.4">
      <c r="A88" s="62" t="s">
        <v>176</v>
      </c>
      <c r="B88" s="63" t="s">
        <v>175</v>
      </c>
      <c r="C88" s="169">
        <f>SUM(C84:C87)</f>
        <v>0</v>
      </c>
      <c r="D88" s="169">
        <f>SUM(D84:D87)</f>
        <v>0</v>
      </c>
      <c r="E88" s="169">
        <v>0</v>
      </c>
      <c r="F88" s="169">
        <v>0</v>
      </c>
      <c r="G88" s="169">
        <v>0</v>
      </c>
      <c r="H88" s="169">
        <v>0</v>
      </c>
      <c r="I88" s="169"/>
      <c r="J88" s="169">
        <f>SUM(J84:J87)</f>
        <v>0</v>
      </c>
    </row>
    <row r="89" spans="1:10" x14ac:dyDescent="0.4">
      <c r="A89" s="62"/>
      <c r="B89" s="63"/>
      <c r="C89" s="167"/>
      <c r="D89" s="167"/>
      <c r="E89" s="167"/>
      <c r="F89" s="167"/>
      <c r="G89" s="167"/>
      <c r="H89" s="167"/>
      <c r="I89" s="167"/>
      <c r="J89" s="167"/>
    </row>
    <row r="90" spans="1:10" x14ac:dyDescent="0.4">
      <c r="A90" s="62"/>
      <c r="B90" s="63" t="s">
        <v>60</v>
      </c>
      <c r="C90" s="167"/>
      <c r="D90" s="167"/>
      <c r="E90" s="167"/>
      <c r="F90" s="167"/>
      <c r="G90" s="167"/>
      <c r="H90" s="167"/>
      <c r="I90" s="167"/>
      <c r="J90" s="167"/>
    </row>
    <row r="91" spans="1:10" x14ac:dyDescent="0.4">
      <c r="A91" s="62" t="s">
        <v>192</v>
      </c>
      <c r="B91" s="63" t="s">
        <v>177</v>
      </c>
      <c r="C91" s="168">
        <v>0</v>
      </c>
      <c r="D91" s="168"/>
      <c r="E91" s="168"/>
      <c r="F91" s="168"/>
      <c r="G91" s="168"/>
      <c r="H91" s="168"/>
      <c r="I91" s="168"/>
      <c r="J91" s="219">
        <f>SUM(C91:I91)</f>
        <v>0</v>
      </c>
    </row>
    <row r="92" spans="1:10" x14ac:dyDescent="0.4">
      <c r="A92" s="62"/>
      <c r="B92" s="63" t="s">
        <v>179</v>
      </c>
      <c r="C92" s="168">
        <v>0</v>
      </c>
      <c r="D92" s="168"/>
      <c r="E92" s="168"/>
      <c r="F92" s="168"/>
      <c r="G92" s="168"/>
      <c r="H92" s="168"/>
      <c r="I92" s="168"/>
      <c r="J92" s="219">
        <f t="shared" ref="J92:J95" si="19">SUM(C92:I92)</f>
        <v>0</v>
      </c>
    </row>
    <row r="93" spans="1:10" x14ac:dyDescent="0.4">
      <c r="A93" s="62"/>
      <c r="B93" s="63" t="s">
        <v>181</v>
      </c>
      <c r="C93" s="168">
        <v>0</v>
      </c>
      <c r="D93" s="168"/>
      <c r="E93" s="168"/>
      <c r="F93" s="168"/>
      <c r="G93" s="168"/>
      <c r="H93" s="168"/>
      <c r="I93" s="168"/>
      <c r="J93" s="219">
        <f t="shared" si="19"/>
        <v>0</v>
      </c>
    </row>
    <row r="94" spans="1:10" x14ac:dyDescent="0.4">
      <c r="A94" s="62"/>
      <c r="B94" s="63" t="s">
        <v>187</v>
      </c>
      <c r="C94" s="168">
        <v>0</v>
      </c>
      <c r="D94" s="168"/>
      <c r="E94" s="168"/>
      <c r="F94" s="168"/>
      <c r="G94" s="168"/>
      <c r="H94" s="168"/>
      <c r="I94" s="168"/>
      <c r="J94" s="219">
        <f t="shared" si="19"/>
        <v>0</v>
      </c>
    </row>
    <row r="95" spans="1:10" x14ac:dyDescent="0.4">
      <c r="A95" s="62"/>
      <c r="B95" s="63" t="s">
        <v>193</v>
      </c>
      <c r="C95" s="215">
        <v>0</v>
      </c>
      <c r="D95" s="215"/>
      <c r="E95" s="215"/>
      <c r="F95" s="215"/>
      <c r="G95" s="215"/>
      <c r="H95" s="215"/>
      <c r="I95" s="215"/>
      <c r="J95" s="215">
        <f t="shared" si="19"/>
        <v>0</v>
      </c>
    </row>
    <row r="96" spans="1:10" x14ac:dyDescent="0.4">
      <c r="A96" s="62"/>
      <c r="B96" s="63" t="s">
        <v>200</v>
      </c>
      <c r="C96" s="169">
        <f>SUM(C91:C95)</f>
        <v>0</v>
      </c>
      <c r="D96" s="169">
        <f>SUM(D91:D95)</f>
        <v>0</v>
      </c>
      <c r="E96" s="169">
        <v>0</v>
      </c>
      <c r="F96" s="169">
        <v>0</v>
      </c>
      <c r="G96" s="169">
        <v>0</v>
      </c>
      <c r="H96" s="169">
        <v>0</v>
      </c>
      <c r="I96" s="169"/>
      <c r="J96" s="169">
        <f>SUM(J91:J95)</f>
        <v>0</v>
      </c>
    </row>
    <row r="97" spans="1:10" x14ac:dyDescent="0.4">
      <c r="A97" s="62"/>
      <c r="B97" s="63"/>
      <c r="C97" s="167"/>
      <c r="D97" s="167"/>
      <c r="E97" s="167"/>
      <c r="F97" s="167"/>
      <c r="G97" s="167"/>
      <c r="H97" s="167"/>
      <c r="I97" s="167"/>
      <c r="J97" s="167"/>
    </row>
    <row r="98" spans="1:10" x14ac:dyDescent="0.4">
      <c r="A98" s="62" t="s">
        <v>208</v>
      </c>
      <c r="B98" s="63"/>
      <c r="C98" s="167"/>
      <c r="D98" s="167"/>
      <c r="E98" s="167"/>
      <c r="F98" s="167"/>
      <c r="G98" s="167"/>
      <c r="H98" s="167"/>
      <c r="I98" s="167"/>
      <c r="J98" s="167"/>
    </row>
    <row r="99" spans="1:10" x14ac:dyDescent="0.4">
      <c r="A99" s="62" t="s">
        <v>212</v>
      </c>
      <c r="B99" s="63" t="s">
        <v>207</v>
      </c>
      <c r="C99" s="169">
        <f t="shared" ref="C99:H99" si="20">+C43+C49+C56+C81+C88+C96</f>
        <v>19012.829999999998</v>
      </c>
      <c r="D99" s="169">
        <f t="shared" si="20"/>
        <v>14963.350000000002</v>
      </c>
      <c r="E99" s="169">
        <f t="shared" si="20"/>
        <v>18735.2474</v>
      </c>
      <c r="F99" s="169">
        <f t="shared" si="20"/>
        <v>14247.08</v>
      </c>
      <c r="G99" s="169">
        <f t="shared" si="20"/>
        <v>17934.04</v>
      </c>
      <c r="H99" s="169">
        <f t="shared" si="20"/>
        <v>20535.189999999999</v>
      </c>
      <c r="I99" s="169"/>
      <c r="J99" s="169">
        <f>SUM(C99:I99)</f>
        <v>105427.73740000001</v>
      </c>
    </row>
    <row r="100" spans="1:10" x14ac:dyDescent="0.4">
      <c r="A100" s="62" t="s">
        <v>216</v>
      </c>
      <c r="B100" s="63"/>
      <c r="C100" s="167"/>
      <c r="D100" s="167"/>
      <c r="E100" s="167"/>
      <c r="F100" s="167"/>
      <c r="G100" s="167"/>
      <c r="H100" s="167"/>
      <c r="I100" s="167"/>
      <c r="J100" s="167"/>
    </row>
    <row r="101" spans="1:10" x14ac:dyDescent="0.4">
      <c r="A101" s="62" t="s">
        <v>220</v>
      </c>
      <c r="B101" s="63" t="s">
        <v>70</v>
      </c>
      <c r="C101" s="167"/>
      <c r="D101" s="167"/>
      <c r="E101" s="167"/>
      <c r="F101" s="167"/>
      <c r="G101" s="167"/>
      <c r="H101" s="167"/>
      <c r="I101" s="167"/>
      <c r="J101" s="167"/>
    </row>
    <row r="102" spans="1:10" x14ac:dyDescent="0.4">
      <c r="A102" s="62" t="s">
        <v>224</v>
      </c>
      <c r="B102" s="63" t="s">
        <v>209</v>
      </c>
      <c r="C102" s="168">
        <v>0</v>
      </c>
      <c r="D102" s="168"/>
      <c r="E102" s="168"/>
      <c r="F102" s="168"/>
      <c r="G102" s="168"/>
      <c r="H102" s="168"/>
      <c r="I102" s="168"/>
      <c r="J102" s="219">
        <f>SUM(C102:I102)</f>
        <v>0</v>
      </c>
    </row>
    <row r="103" spans="1:10" x14ac:dyDescent="0.4">
      <c r="A103" s="62"/>
      <c r="B103" s="63" t="s">
        <v>213</v>
      </c>
      <c r="C103" s="168">
        <v>0</v>
      </c>
      <c r="D103" s="168"/>
      <c r="E103" s="168"/>
      <c r="F103" s="168"/>
      <c r="G103" s="168"/>
      <c r="H103" s="168"/>
      <c r="I103" s="168"/>
      <c r="J103" s="219">
        <f t="shared" ref="J103:J107" si="21">SUM(C103:I103)</f>
        <v>0</v>
      </c>
    </row>
    <row r="104" spans="1:10" x14ac:dyDescent="0.4">
      <c r="A104" s="62"/>
      <c r="B104" s="63" t="s">
        <v>217</v>
      </c>
      <c r="C104" s="168">
        <v>0</v>
      </c>
      <c r="D104" s="168"/>
      <c r="E104" s="168"/>
      <c r="F104" s="168"/>
      <c r="G104" s="168"/>
      <c r="H104" s="168"/>
      <c r="I104" s="168"/>
      <c r="J104" s="219">
        <f t="shared" si="21"/>
        <v>0</v>
      </c>
    </row>
    <row r="105" spans="1:10" x14ac:dyDescent="0.4">
      <c r="A105" s="62"/>
      <c r="B105" s="217" t="s">
        <v>243</v>
      </c>
      <c r="C105" s="168">
        <v>3937.37</v>
      </c>
      <c r="D105" s="168"/>
      <c r="E105" s="168">
        <v>6047</v>
      </c>
      <c r="F105" s="168">
        <v>3916.67</v>
      </c>
      <c r="G105" s="168">
        <v>3916.67</v>
      </c>
      <c r="H105" s="168">
        <v>0</v>
      </c>
      <c r="I105" s="168"/>
      <c r="J105" s="219">
        <f t="shared" si="21"/>
        <v>17817.71</v>
      </c>
    </row>
    <row r="106" spans="1:10" x14ac:dyDescent="0.4">
      <c r="A106" s="62"/>
      <c r="B106" s="63" t="s">
        <v>221</v>
      </c>
      <c r="C106" s="168">
        <v>0</v>
      </c>
      <c r="D106" s="168"/>
      <c r="E106" s="168"/>
      <c r="F106" s="168"/>
      <c r="G106" s="168"/>
      <c r="H106" s="168"/>
      <c r="I106" s="168"/>
      <c r="J106" s="219">
        <f t="shared" si="21"/>
        <v>0</v>
      </c>
    </row>
    <row r="107" spans="1:10" x14ac:dyDescent="0.4">
      <c r="A107" s="62"/>
      <c r="B107" s="63" t="s">
        <v>225</v>
      </c>
      <c r="C107" s="169">
        <v>0</v>
      </c>
      <c r="D107" s="215"/>
      <c r="E107" s="215"/>
      <c r="F107" s="215"/>
      <c r="G107" s="215"/>
      <c r="H107" s="215"/>
      <c r="I107" s="215"/>
      <c r="J107" s="215">
        <f t="shared" si="21"/>
        <v>0</v>
      </c>
    </row>
    <row r="108" spans="1:10" x14ac:dyDescent="0.4">
      <c r="A108" s="62"/>
      <c r="B108" s="63" t="s">
        <v>70</v>
      </c>
      <c r="C108" s="169">
        <f t="shared" ref="C108:H108" si="22">SUM(C102:C107)</f>
        <v>3937.37</v>
      </c>
      <c r="D108" s="169">
        <f t="shared" si="22"/>
        <v>0</v>
      </c>
      <c r="E108" s="169">
        <f t="shared" si="22"/>
        <v>6047</v>
      </c>
      <c r="F108" s="169">
        <f t="shared" si="22"/>
        <v>3916.67</v>
      </c>
      <c r="G108" s="169">
        <f t="shared" si="22"/>
        <v>3916.67</v>
      </c>
      <c r="H108" s="169">
        <f t="shared" si="22"/>
        <v>0</v>
      </c>
      <c r="I108" s="169"/>
      <c r="J108" s="169">
        <f>SUM(J102:J107)</f>
        <v>17817.71</v>
      </c>
    </row>
    <row r="109" spans="1:10" x14ac:dyDescent="0.4">
      <c r="A109" s="62"/>
      <c r="B109" s="63"/>
      <c r="C109" s="218"/>
      <c r="D109" s="218"/>
      <c r="E109" s="218"/>
      <c r="F109" s="218"/>
      <c r="G109" s="218"/>
      <c r="H109" s="218"/>
      <c r="I109" s="218"/>
      <c r="J109" s="218"/>
    </row>
    <row r="110" spans="1:10" x14ac:dyDescent="0.4">
      <c r="A110" s="62"/>
      <c r="B110" s="63" t="s">
        <v>71</v>
      </c>
      <c r="C110" s="215">
        <f t="shared" ref="C110:H110" si="23">+C108+C99</f>
        <v>22950.199999999997</v>
      </c>
      <c r="D110" s="215">
        <f t="shared" si="23"/>
        <v>14963.350000000002</v>
      </c>
      <c r="E110" s="215">
        <f t="shared" si="23"/>
        <v>24782.2474</v>
      </c>
      <c r="F110" s="215">
        <f t="shared" si="23"/>
        <v>18163.75</v>
      </c>
      <c r="G110" s="215">
        <f t="shared" si="23"/>
        <v>21850.71</v>
      </c>
      <c r="H110" s="215">
        <f t="shared" si="23"/>
        <v>20535.189999999999</v>
      </c>
      <c r="I110" s="215"/>
      <c r="J110" s="215">
        <f>+J108+J99</f>
        <v>123245.4474</v>
      </c>
    </row>
    <row r="111" spans="1:10" x14ac:dyDescent="0.4">
      <c r="A111" s="62"/>
      <c r="B111" s="63"/>
      <c r="C111" s="218"/>
      <c r="D111" s="218"/>
      <c r="E111" s="218"/>
      <c r="F111" s="218"/>
      <c r="G111" s="218"/>
      <c r="H111" s="218"/>
      <c r="I111" s="218"/>
      <c r="J111" s="218"/>
    </row>
    <row r="112" spans="1:10" x14ac:dyDescent="0.4">
      <c r="A112" s="62"/>
      <c r="B112" s="63"/>
      <c r="C112" s="170"/>
      <c r="D112" s="170"/>
      <c r="E112" s="170"/>
      <c r="F112" s="170"/>
      <c r="G112" s="170"/>
      <c r="H112" s="170"/>
      <c r="I112" s="170"/>
      <c r="J112" s="170"/>
    </row>
    <row r="113" spans="1:10" ht="15" thickBot="1" x14ac:dyDescent="0.45">
      <c r="A113" s="62"/>
      <c r="B113" s="63" t="s">
        <v>228</v>
      </c>
      <c r="C113" s="171">
        <f t="shared" ref="C113:H113" si="24">+C16-C110</f>
        <v>-11810.199999999997</v>
      </c>
      <c r="D113" s="171">
        <f t="shared" si="24"/>
        <v>7427.8999999999978</v>
      </c>
      <c r="E113" s="171">
        <f t="shared" si="24"/>
        <v>-3905.5374000000011</v>
      </c>
      <c r="F113" s="171">
        <f t="shared" si="24"/>
        <v>4664.1100000000006</v>
      </c>
      <c r="G113" s="171">
        <f t="shared" si="24"/>
        <v>1653.010000000002</v>
      </c>
      <c r="H113" s="171">
        <f t="shared" si="24"/>
        <v>-4375.5699999999979</v>
      </c>
      <c r="I113" s="171"/>
      <c r="J113" s="171">
        <f>+J16-J110</f>
        <v>-6346.2874000000011</v>
      </c>
    </row>
    <row r="114" spans="1:10" ht="15" thickTop="1" x14ac:dyDescent="0.4">
      <c r="A114" s="62"/>
      <c r="B114" s="63"/>
      <c r="C114" s="167"/>
      <c r="D114" s="167"/>
      <c r="E114" s="167"/>
      <c r="F114" s="167"/>
      <c r="G114" s="167"/>
      <c r="H114" s="167"/>
      <c r="I114" s="167"/>
      <c r="J114" s="167"/>
    </row>
    <row r="115" spans="1:10" x14ac:dyDescent="0.4">
      <c r="A115" s="62"/>
      <c r="B115" s="63"/>
      <c r="C115" s="167"/>
      <c r="D115" s="167"/>
      <c r="E115" s="167"/>
      <c r="F115" s="167"/>
      <c r="G115" s="167"/>
      <c r="H115" s="167"/>
      <c r="I115" s="167"/>
      <c r="J115" s="167"/>
    </row>
    <row r="116" spans="1:10" x14ac:dyDescent="0.4">
      <c r="B116" s="63"/>
      <c r="C116" s="167"/>
      <c r="D116" s="167"/>
      <c r="E116" s="167"/>
      <c r="F116" s="167"/>
      <c r="G116" s="167"/>
      <c r="H116" s="167"/>
      <c r="I116" s="167"/>
      <c r="J116" s="167"/>
    </row>
  </sheetData>
  <mergeCells count="3">
    <mergeCell ref="A1:J1"/>
    <mergeCell ref="A2:J2"/>
    <mergeCell ref="A3:J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G283"/>
  <sheetViews>
    <sheetView topLeftCell="B1" workbookViewId="0">
      <selection activeCell="Z30" sqref="Z30"/>
    </sheetView>
  </sheetViews>
  <sheetFormatPr defaultColWidth="9.15234375" defaultRowHeight="14.6" x14ac:dyDescent="0.4"/>
  <cols>
    <col min="1" max="1" width="0" style="2" hidden="1" customWidth="1"/>
    <col min="2" max="2" width="25.84375" style="2" bestFit="1" customWidth="1"/>
    <col min="3" max="3" width="9.53515625" style="2" bestFit="1" customWidth="1"/>
    <col min="4" max="4" width="9.15234375" style="2"/>
    <col min="5" max="5" width="2.69140625" style="2" customWidth="1"/>
    <col min="6" max="17" width="9.15234375" style="2" customWidth="1"/>
    <col min="18" max="18" width="9.53515625" style="2" customWidth="1"/>
    <col min="19" max="19" width="2.69140625" style="37" customWidth="1"/>
    <col min="20" max="20" width="8.3828125" style="37" bestFit="1" customWidth="1"/>
    <col min="21" max="25" width="8.3828125" style="37" customWidth="1"/>
    <col min="26" max="26" width="9.53515625" style="2" bestFit="1" customWidth="1"/>
    <col min="27" max="27" width="2.53515625" style="2" customWidth="1"/>
    <col min="28" max="29" width="9.53515625" style="2" bestFit="1" customWidth="1"/>
    <col min="30" max="16384" width="9.15234375" style="2"/>
  </cols>
  <sheetData>
    <row r="1" spans="1:30" ht="15" customHeight="1" x14ac:dyDescent="0.4">
      <c r="A1" s="295" t="s">
        <v>236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5"/>
      <c r="V1" s="295"/>
      <c r="W1" s="295"/>
      <c r="X1" s="295"/>
      <c r="Y1" s="295"/>
      <c r="Z1" s="295"/>
      <c r="AA1" s="295"/>
      <c r="AB1" s="295"/>
      <c r="AC1" s="295"/>
    </row>
    <row r="2" spans="1:30" ht="15" customHeight="1" x14ac:dyDescent="0.4">
      <c r="A2" s="295" t="s">
        <v>0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W2" s="295"/>
      <c r="X2" s="295"/>
      <c r="Y2" s="295"/>
      <c r="Z2" s="295"/>
      <c r="AA2" s="295"/>
      <c r="AB2" s="295"/>
      <c r="AC2" s="295"/>
    </row>
    <row r="3" spans="1:30" ht="15" customHeight="1" x14ac:dyDescent="0.4">
      <c r="A3" s="295" t="s">
        <v>248</v>
      </c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5"/>
      <c r="S3" s="295"/>
      <c r="T3" s="295"/>
      <c r="U3" s="295"/>
      <c r="V3" s="295"/>
      <c r="W3" s="295"/>
      <c r="X3" s="295"/>
      <c r="Y3" s="295"/>
      <c r="Z3" s="295"/>
      <c r="AA3" s="295"/>
      <c r="AB3" s="295"/>
      <c r="AC3" s="295"/>
    </row>
    <row r="4" spans="1:30" ht="15" customHeight="1" x14ac:dyDescent="0.4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7"/>
      <c r="T4" s="57"/>
      <c r="U4" s="57"/>
      <c r="V4" s="57"/>
      <c r="W4" s="57"/>
      <c r="X4" s="57"/>
      <c r="Y4" s="57"/>
    </row>
    <row r="5" spans="1:30" x14ac:dyDescent="0.4">
      <c r="A5" s="58" t="s">
        <v>1</v>
      </c>
      <c r="B5" s="59" t="s">
        <v>2</v>
      </c>
      <c r="C5" s="59" t="s">
        <v>235</v>
      </c>
      <c r="D5" s="59" t="s">
        <v>3</v>
      </c>
      <c r="E5" s="60"/>
      <c r="F5" s="59" t="s">
        <v>4</v>
      </c>
      <c r="G5" s="59" t="s">
        <v>5</v>
      </c>
      <c r="H5" s="59" t="s">
        <v>6</v>
      </c>
      <c r="I5" s="59" t="s">
        <v>7</v>
      </c>
      <c r="J5" s="59" t="s">
        <v>8</v>
      </c>
      <c r="K5" s="59" t="s">
        <v>9</v>
      </c>
      <c r="L5" s="59" t="s">
        <v>10</v>
      </c>
      <c r="M5" s="59" t="s">
        <v>11</v>
      </c>
      <c r="N5" s="59" t="s">
        <v>12</v>
      </c>
      <c r="O5" s="59" t="s">
        <v>13</v>
      </c>
      <c r="P5" s="59" t="s">
        <v>14</v>
      </c>
      <c r="Q5" s="59" t="s">
        <v>15</v>
      </c>
      <c r="R5" s="59" t="s">
        <v>242</v>
      </c>
      <c r="S5" s="61"/>
      <c r="T5" s="166" t="s">
        <v>16</v>
      </c>
      <c r="U5" s="166" t="s">
        <v>244</v>
      </c>
      <c r="V5" s="166" t="s">
        <v>245</v>
      </c>
      <c r="W5" s="166" t="s">
        <v>246</v>
      </c>
      <c r="X5" s="166" t="s">
        <v>247</v>
      </c>
      <c r="Y5" s="166" t="s">
        <v>249</v>
      </c>
      <c r="Z5" s="166" t="s">
        <v>17</v>
      </c>
      <c r="AA5" s="61"/>
      <c r="AB5" s="195" t="s">
        <v>238</v>
      </c>
      <c r="AC5" s="29" t="s">
        <v>240</v>
      </c>
      <c r="AD5" s="29" t="s">
        <v>239</v>
      </c>
    </row>
    <row r="6" spans="1:30" x14ac:dyDescent="0.4">
      <c r="A6" s="62"/>
      <c r="B6" s="63" t="s">
        <v>18</v>
      </c>
      <c r="C6" s="64"/>
      <c r="D6" s="64"/>
      <c r="E6" s="65" t="s">
        <v>19</v>
      </c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6"/>
      <c r="T6" s="167"/>
      <c r="U6" s="167"/>
      <c r="V6" s="167"/>
      <c r="W6" s="167"/>
      <c r="X6" s="167"/>
      <c r="Y6" s="167"/>
      <c r="Z6" s="167"/>
      <c r="AA6" s="64"/>
    </row>
    <row r="7" spans="1:30" x14ac:dyDescent="0.4">
      <c r="A7" s="62"/>
      <c r="B7" s="63" t="s">
        <v>20</v>
      </c>
      <c r="C7" s="64"/>
      <c r="D7" s="64"/>
      <c r="E7" s="65" t="s">
        <v>19</v>
      </c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6"/>
      <c r="T7" s="167"/>
      <c r="U7" s="167"/>
      <c r="V7" s="167"/>
      <c r="W7" s="167"/>
      <c r="X7" s="167"/>
      <c r="Y7" s="167"/>
      <c r="Z7" s="167"/>
      <c r="AA7" s="64"/>
    </row>
    <row r="8" spans="1:30" x14ac:dyDescent="0.4">
      <c r="A8" s="62" t="s">
        <v>21</v>
      </c>
      <c r="B8" s="203" t="s">
        <v>22</v>
      </c>
      <c r="C8" s="168">
        <v>2438.27</v>
      </c>
      <c r="D8" s="168">
        <v>203.18916666666669</v>
      </c>
      <c r="E8" s="204" t="s">
        <v>19</v>
      </c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7"/>
      <c r="R8" s="168"/>
      <c r="S8" s="19"/>
      <c r="T8" s="168">
        <v>313.56</v>
      </c>
      <c r="U8" s="167"/>
      <c r="V8" s="168">
        <v>401.75</v>
      </c>
      <c r="W8" s="167"/>
      <c r="X8" s="167"/>
      <c r="Y8" s="167"/>
      <c r="Z8" s="168">
        <v>715.31</v>
      </c>
      <c r="AA8" s="18"/>
      <c r="AB8" s="219">
        <f t="shared" ref="AB8:AB15" si="0">SUM(F8:K8)</f>
        <v>0</v>
      </c>
      <c r="AC8" s="224">
        <f>+Z8-AB8</f>
        <v>715.31</v>
      </c>
      <c r="AD8" s="8" t="e">
        <f>+AC8/AB8</f>
        <v>#DIV/0!</v>
      </c>
    </row>
    <row r="9" spans="1:30" x14ac:dyDescent="0.4">
      <c r="A9" s="62"/>
      <c r="B9" s="203" t="s">
        <v>26</v>
      </c>
      <c r="C9" s="167"/>
      <c r="D9" s="168"/>
      <c r="E9" s="204" t="s">
        <v>19</v>
      </c>
      <c r="F9" s="167"/>
      <c r="G9" s="167"/>
      <c r="H9" s="167"/>
      <c r="I9" s="167"/>
      <c r="J9" s="167"/>
      <c r="K9" s="167"/>
      <c r="L9" s="167"/>
      <c r="M9" s="167"/>
      <c r="N9" s="167"/>
      <c r="O9" s="167"/>
      <c r="P9" s="168">
        <v>928</v>
      </c>
      <c r="Q9" s="168">
        <v>112</v>
      </c>
      <c r="R9" s="168">
        <v>1040</v>
      </c>
      <c r="S9" s="66"/>
      <c r="T9" s="168">
        <v>300</v>
      </c>
      <c r="U9" s="168">
        <v>1037</v>
      </c>
      <c r="V9" s="168">
        <v>286</v>
      </c>
      <c r="W9" s="168">
        <v>860.3</v>
      </c>
      <c r="X9" s="168">
        <v>1119.96</v>
      </c>
      <c r="Y9" s="168">
        <v>857</v>
      </c>
      <c r="Z9" s="168">
        <v>4460.26</v>
      </c>
      <c r="AA9" s="64"/>
      <c r="AB9" s="219">
        <f t="shared" si="0"/>
        <v>0</v>
      </c>
      <c r="AC9" s="224">
        <f t="shared" ref="AC9:AC15" si="1">+Z9-AB9</f>
        <v>4460.26</v>
      </c>
      <c r="AD9" s="8" t="e">
        <f t="shared" ref="AD9:AD15" si="2">+AC9/AB9</f>
        <v>#DIV/0!</v>
      </c>
    </row>
    <row r="10" spans="1:30" x14ac:dyDescent="0.4">
      <c r="A10" s="62" t="s">
        <v>25</v>
      </c>
      <c r="B10" s="203" t="s">
        <v>28</v>
      </c>
      <c r="C10" s="168">
        <v>583478.9</v>
      </c>
      <c r="D10" s="168">
        <v>48623.241666666669</v>
      </c>
      <c r="E10" s="204" t="s">
        <v>19</v>
      </c>
      <c r="F10" s="167"/>
      <c r="G10" s="167"/>
      <c r="H10" s="167"/>
      <c r="I10" s="167"/>
      <c r="J10" s="167"/>
      <c r="K10" s="168">
        <v>23424.15</v>
      </c>
      <c r="L10" s="167"/>
      <c r="M10" s="168">
        <v>1000</v>
      </c>
      <c r="N10" s="168">
        <v>36000</v>
      </c>
      <c r="O10" s="167"/>
      <c r="P10" s="167"/>
      <c r="Q10" s="168">
        <v>2500</v>
      </c>
      <c r="R10" s="168">
        <v>62924.15</v>
      </c>
      <c r="S10" s="19"/>
      <c r="T10" s="167"/>
      <c r="U10" s="167"/>
      <c r="V10" s="167"/>
      <c r="W10" s="167"/>
      <c r="X10" s="168">
        <v>10000</v>
      </c>
      <c r="Y10" s="167"/>
      <c r="Z10" s="168">
        <v>10000</v>
      </c>
      <c r="AA10" s="18"/>
      <c r="AB10" s="219">
        <f t="shared" si="0"/>
        <v>23424.15</v>
      </c>
      <c r="AC10" s="224">
        <f t="shared" si="1"/>
        <v>-13424.150000000001</v>
      </c>
      <c r="AD10" s="8">
        <f t="shared" si="2"/>
        <v>-0.57309016549159741</v>
      </c>
    </row>
    <row r="11" spans="1:30" x14ac:dyDescent="0.4">
      <c r="A11" s="62" t="s">
        <v>27</v>
      </c>
      <c r="B11" s="203" t="s">
        <v>30</v>
      </c>
      <c r="C11" s="168">
        <v>28999.49</v>
      </c>
      <c r="D11" s="168">
        <v>2416.6241666666665</v>
      </c>
      <c r="E11" s="204" t="s">
        <v>19</v>
      </c>
      <c r="F11" s="168">
        <v>2090.5500000000002</v>
      </c>
      <c r="G11" s="168">
        <v>3230.84</v>
      </c>
      <c r="H11" s="168">
        <v>21013.35</v>
      </c>
      <c r="I11" s="168">
        <v>73328.41</v>
      </c>
      <c r="J11" s="168">
        <v>5902.87</v>
      </c>
      <c r="K11" s="168">
        <v>4807.2700000000004</v>
      </c>
      <c r="L11" s="168">
        <v>6857.16</v>
      </c>
      <c r="M11" s="168">
        <v>683.03</v>
      </c>
      <c r="N11" s="168">
        <v>17003.52</v>
      </c>
      <c r="O11" s="168">
        <v>9330.35</v>
      </c>
      <c r="P11" s="168">
        <v>2815.07</v>
      </c>
      <c r="Q11" s="168">
        <v>6831.4</v>
      </c>
      <c r="R11" s="168">
        <v>153893.82</v>
      </c>
      <c r="S11" s="19"/>
      <c r="T11" s="168">
        <v>1368.41</v>
      </c>
      <c r="U11" s="168">
        <v>2568.19</v>
      </c>
      <c r="V11" s="168">
        <v>22774.66</v>
      </c>
      <c r="W11" s="168">
        <v>9168.24</v>
      </c>
      <c r="X11" s="168">
        <v>19885.28</v>
      </c>
      <c r="Y11" s="168">
        <v>6020.56</v>
      </c>
      <c r="Z11" s="168">
        <v>61785.34</v>
      </c>
      <c r="AA11" s="18"/>
      <c r="AB11" s="219">
        <f t="shared" si="0"/>
        <v>110373.29</v>
      </c>
      <c r="AC11" s="224">
        <f t="shared" si="1"/>
        <v>-48587.95</v>
      </c>
      <c r="AD11" s="8">
        <f t="shared" si="2"/>
        <v>-0.44021474760786783</v>
      </c>
    </row>
    <row r="12" spans="1:30" x14ac:dyDescent="0.4">
      <c r="A12" s="62" t="s">
        <v>29</v>
      </c>
      <c r="B12" s="203" t="s">
        <v>45</v>
      </c>
      <c r="C12" s="168">
        <v>238623.81</v>
      </c>
      <c r="D12" s="168">
        <v>19885.317500000001</v>
      </c>
      <c r="E12" s="204" t="s">
        <v>19</v>
      </c>
      <c r="F12" s="168">
        <v>9462.92</v>
      </c>
      <c r="G12" s="168">
        <v>32622.27</v>
      </c>
      <c r="H12" s="168">
        <v>18238.11</v>
      </c>
      <c r="I12" s="168">
        <v>11885.71</v>
      </c>
      <c r="J12" s="168">
        <v>19998.05</v>
      </c>
      <c r="K12" s="168">
        <v>31507.64</v>
      </c>
      <c r="L12" s="168">
        <v>9524.56</v>
      </c>
      <c r="M12" s="168">
        <v>7044.25</v>
      </c>
      <c r="N12" s="168">
        <v>13366.2</v>
      </c>
      <c r="O12" s="168">
        <v>18165.96</v>
      </c>
      <c r="P12" s="168">
        <v>15113.75</v>
      </c>
      <c r="Q12" s="168">
        <v>26120.33</v>
      </c>
      <c r="R12" s="168">
        <v>213049.75</v>
      </c>
      <c r="S12" s="19"/>
      <c r="T12" s="168"/>
      <c r="U12" s="168"/>
      <c r="V12" s="168"/>
      <c r="W12" s="168"/>
      <c r="X12" s="168"/>
      <c r="Y12" s="168"/>
      <c r="Z12" s="168"/>
      <c r="AA12" s="18"/>
      <c r="AB12" s="219">
        <f t="shared" si="0"/>
        <v>123714.70000000001</v>
      </c>
      <c r="AC12" s="224">
        <f t="shared" si="1"/>
        <v>-123714.70000000001</v>
      </c>
      <c r="AD12" s="8">
        <f t="shared" si="2"/>
        <v>-1</v>
      </c>
    </row>
    <row r="13" spans="1:30" x14ac:dyDescent="0.4">
      <c r="A13" s="62" t="s">
        <v>44</v>
      </c>
      <c r="B13" s="203" t="s">
        <v>47</v>
      </c>
      <c r="C13" s="168">
        <v>250000</v>
      </c>
      <c r="D13" s="168">
        <v>20833.333333333332</v>
      </c>
      <c r="E13" s="204" t="s">
        <v>19</v>
      </c>
      <c r="F13" s="168">
        <v>26000</v>
      </c>
      <c r="G13" s="168">
        <v>29500</v>
      </c>
      <c r="H13" s="168">
        <v>22500</v>
      </c>
      <c r="I13" s="168">
        <v>22500</v>
      </c>
      <c r="J13" s="168">
        <v>22500</v>
      </c>
      <c r="K13" s="168">
        <v>22500</v>
      </c>
      <c r="L13" s="168">
        <v>22500</v>
      </c>
      <c r="M13" s="168">
        <v>22500</v>
      </c>
      <c r="N13" s="168">
        <v>12500</v>
      </c>
      <c r="O13" s="168">
        <v>12500</v>
      </c>
      <c r="P13" s="168">
        <v>12500</v>
      </c>
      <c r="Q13" s="168">
        <v>12500</v>
      </c>
      <c r="R13" s="168">
        <v>240500</v>
      </c>
      <c r="S13" s="19"/>
      <c r="T13" s="168">
        <v>12500</v>
      </c>
      <c r="U13" s="168">
        <v>12500</v>
      </c>
      <c r="V13" s="168">
        <v>9500</v>
      </c>
      <c r="W13" s="168">
        <v>7500</v>
      </c>
      <c r="X13" s="168">
        <v>11500</v>
      </c>
      <c r="Y13" s="168">
        <v>11500</v>
      </c>
      <c r="Z13" s="168">
        <v>65000</v>
      </c>
      <c r="AA13" s="18"/>
      <c r="AB13" s="219">
        <f t="shared" si="0"/>
        <v>145500</v>
      </c>
      <c r="AC13" s="224">
        <f t="shared" si="1"/>
        <v>-80500</v>
      </c>
      <c r="AD13" s="8">
        <f t="shared" si="2"/>
        <v>-0.5532646048109966</v>
      </c>
    </row>
    <row r="14" spans="1:30" x14ac:dyDescent="0.4">
      <c r="A14" s="62" t="s">
        <v>46</v>
      </c>
      <c r="B14" s="203" t="s">
        <v>49</v>
      </c>
      <c r="C14" s="168">
        <v>26000</v>
      </c>
      <c r="D14" s="168">
        <v>2166.6666666666665</v>
      </c>
      <c r="E14" s="204" t="s">
        <v>19</v>
      </c>
      <c r="F14" s="167"/>
      <c r="G14" s="167"/>
      <c r="H14" s="167"/>
      <c r="I14" s="167"/>
      <c r="J14" s="167"/>
      <c r="K14" s="167"/>
      <c r="L14" s="168">
        <v>10000</v>
      </c>
      <c r="M14" s="167"/>
      <c r="N14" s="167"/>
      <c r="O14" s="167"/>
      <c r="P14" s="167"/>
      <c r="Q14" s="167"/>
      <c r="R14" s="168">
        <v>10000</v>
      </c>
      <c r="S14" s="19"/>
      <c r="T14" s="167"/>
      <c r="U14" s="167"/>
      <c r="V14" s="167"/>
      <c r="W14" s="167"/>
      <c r="X14" s="167"/>
      <c r="Y14" s="167"/>
      <c r="Z14" s="167"/>
      <c r="AA14" s="18"/>
      <c r="AB14" s="219">
        <f t="shared" si="0"/>
        <v>0</v>
      </c>
      <c r="AC14" s="224">
        <f t="shared" si="1"/>
        <v>0</v>
      </c>
      <c r="AD14" s="8" t="e">
        <f t="shared" si="2"/>
        <v>#DIV/0!</v>
      </c>
    </row>
    <row r="15" spans="1:30" x14ac:dyDescent="0.4">
      <c r="A15" s="62" t="s">
        <v>48</v>
      </c>
      <c r="B15" s="203" t="s">
        <v>53</v>
      </c>
      <c r="C15" s="169">
        <v>7936.56</v>
      </c>
      <c r="D15" s="169">
        <v>661.38</v>
      </c>
      <c r="E15" s="204" t="s">
        <v>19</v>
      </c>
      <c r="F15" s="169">
        <v>0.51</v>
      </c>
      <c r="G15" s="169">
        <v>311.92</v>
      </c>
      <c r="H15" s="169">
        <v>758.7</v>
      </c>
      <c r="I15" s="169">
        <v>0.51</v>
      </c>
      <c r="J15" s="169">
        <v>1325.85</v>
      </c>
      <c r="K15" s="169">
        <v>385.61</v>
      </c>
      <c r="L15" s="169">
        <v>0.49</v>
      </c>
      <c r="M15" s="169">
        <v>0.51</v>
      </c>
      <c r="N15" s="169">
        <v>53.85</v>
      </c>
      <c r="O15" s="169">
        <v>0.25</v>
      </c>
      <c r="P15" s="169">
        <v>0.25</v>
      </c>
      <c r="Q15" s="169">
        <v>0.25</v>
      </c>
      <c r="R15" s="169">
        <v>2838.7</v>
      </c>
      <c r="S15" s="19"/>
      <c r="T15" s="169">
        <v>0.25</v>
      </c>
      <c r="U15" s="169">
        <v>0.25</v>
      </c>
      <c r="V15" s="170"/>
      <c r="W15" s="169">
        <v>282380.40999999997</v>
      </c>
      <c r="X15" s="169">
        <v>0.23</v>
      </c>
      <c r="Y15" s="169">
        <v>0.25</v>
      </c>
      <c r="Z15" s="169">
        <v>282381.39</v>
      </c>
      <c r="AA15" s="19"/>
      <c r="AB15" s="215">
        <f t="shared" si="0"/>
        <v>2783.1</v>
      </c>
      <c r="AC15" s="11">
        <f t="shared" si="1"/>
        <v>279598.29000000004</v>
      </c>
      <c r="AD15" s="12">
        <f t="shared" si="2"/>
        <v>100.46289748841222</v>
      </c>
    </row>
    <row r="16" spans="1:30" x14ac:dyDescent="0.4">
      <c r="A16" s="62" t="s">
        <v>52</v>
      </c>
      <c r="B16" s="203" t="s">
        <v>54</v>
      </c>
      <c r="C16" s="169">
        <v>1137477.03</v>
      </c>
      <c r="D16" s="169">
        <v>94789.752500000002</v>
      </c>
      <c r="E16" s="204" t="s">
        <v>19</v>
      </c>
      <c r="F16" s="169">
        <v>37553.980000000003</v>
      </c>
      <c r="G16" s="169">
        <v>65665.03</v>
      </c>
      <c r="H16" s="169">
        <v>62510.16</v>
      </c>
      <c r="I16" s="169">
        <v>107714.63</v>
      </c>
      <c r="J16" s="169">
        <v>49726.77</v>
      </c>
      <c r="K16" s="169">
        <v>82624.67</v>
      </c>
      <c r="L16" s="169">
        <v>48882.21</v>
      </c>
      <c r="M16" s="169">
        <v>31227.79</v>
      </c>
      <c r="N16" s="169">
        <v>78923.570000000007</v>
      </c>
      <c r="O16" s="169">
        <v>39996.559999999998</v>
      </c>
      <c r="P16" s="169">
        <v>31357.07</v>
      </c>
      <c r="Q16" s="169">
        <v>48063.98</v>
      </c>
      <c r="R16" s="169">
        <v>684246.42</v>
      </c>
      <c r="S16" s="19"/>
      <c r="T16" s="169">
        <f>SUM(T8:T15)</f>
        <v>14482.22</v>
      </c>
      <c r="U16" s="169">
        <f t="shared" ref="U16:Z16" si="3">SUM(U8:U15)</f>
        <v>16105.44</v>
      </c>
      <c r="V16" s="169">
        <f t="shared" si="3"/>
        <v>32962.410000000003</v>
      </c>
      <c r="W16" s="169">
        <f t="shared" si="3"/>
        <v>299908.94999999995</v>
      </c>
      <c r="X16" s="169">
        <f t="shared" si="3"/>
        <v>42505.47</v>
      </c>
      <c r="Y16" s="169">
        <f t="shared" si="3"/>
        <v>18377.810000000001</v>
      </c>
      <c r="Z16" s="169">
        <f t="shared" si="3"/>
        <v>424342.30000000005</v>
      </c>
      <c r="AA16" s="19"/>
      <c r="AB16" s="190">
        <f>SUM(AB8:AB15)</f>
        <v>405795.24</v>
      </c>
      <c r="AC16" s="190">
        <f>SUM(AC8:AC15)</f>
        <v>18547.060000000027</v>
      </c>
      <c r="AD16" s="10">
        <f t="shared" ref="AD16:AD58" si="4">+AC16/AB16</f>
        <v>4.5705464657495802E-2</v>
      </c>
    </row>
    <row r="17" spans="1:30" x14ac:dyDescent="0.4">
      <c r="A17" s="62"/>
      <c r="B17" s="203"/>
      <c r="C17" s="167"/>
      <c r="D17" s="167"/>
      <c r="E17" s="204" t="s">
        <v>19</v>
      </c>
      <c r="F17" s="167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66"/>
      <c r="T17" s="167"/>
      <c r="U17" s="167"/>
      <c r="V17" s="167"/>
      <c r="W17" s="167"/>
      <c r="X17" s="167"/>
      <c r="Y17" s="167"/>
      <c r="Z17" s="167"/>
      <c r="AA17" s="64"/>
      <c r="AB17" s="167"/>
      <c r="AC17" s="4"/>
      <c r="AD17" s="5"/>
    </row>
    <row r="18" spans="1:30" x14ac:dyDescent="0.4">
      <c r="A18" s="62"/>
      <c r="B18" s="203" t="s">
        <v>55</v>
      </c>
      <c r="C18" s="167"/>
      <c r="D18" s="167"/>
      <c r="E18" s="204" t="s">
        <v>19</v>
      </c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66"/>
      <c r="T18" s="167"/>
      <c r="U18" s="167"/>
      <c r="V18" s="167"/>
      <c r="W18" s="167"/>
      <c r="X18" s="167"/>
      <c r="Y18" s="167"/>
      <c r="Z18" s="167"/>
      <c r="AA18" s="64"/>
      <c r="AB18" s="167"/>
      <c r="AC18" s="4"/>
      <c r="AD18" s="5"/>
    </row>
    <row r="19" spans="1:30" x14ac:dyDescent="0.4">
      <c r="A19" s="62"/>
      <c r="B19" s="203" t="s">
        <v>56</v>
      </c>
      <c r="C19" s="168">
        <v>533438.94999999995</v>
      </c>
      <c r="D19" s="168">
        <v>44453.245833333334</v>
      </c>
      <c r="E19" s="204" t="s">
        <v>19</v>
      </c>
      <c r="F19" s="168">
        <v>45688.14</v>
      </c>
      <c r="G19" s="168">
        <v>35262.99</v>
      </c>
      <c r="H19" s="168">
        <v>27903.17</v>
      </c>
      <c r="I19" s="168">
        <v>27512.63</v>
      </c>
      <c r="J19" s="168">
        <v>28083.95</v>
      </c>
      <c r="K19" s="168">
        <v>28222.18</v>
      </c>
      <c r="L19" s="168">
        <v>32982.28</v>
      </c>
      <c r="M19" s="168">
        <v>27967.49</v>
      </c>
      <c r="N19" s="168">
        <v>28586.05</v>
      </c>
      <c r="O19" s="168">
        <v>29898.21</v>
      </c>
      <c r="P19" s="168">
        <v>29153.62</v>
      </c>
      <c r="Q19" s="168">
        <v>28772.09</v>
      </c>
      <c r="R19" s="168">
        <v>370032.8</v>
      </c>
      <c r="S19" s="19"/>
      <c r="T19" s="168">
        <f>33122.82-16937.83</f>
        <v>16184.989999999998</v>
      </c>
      <c r="U19" s="168">
        <f>29653.15-13513.35</f>
        <v>16139.800000000001</v>
      </c>
      <c r="V19" s="168">
        <f>30029.55-13645.25</f>
        <v>16384.3</v>
      </c>
      <c r="W19" s="168">
        <f>32735.62-12790.3</f>
        <v>19945.32</v>
      </c>
      <c r="X19" s="168">
        <f>31051.95-13480.41</f>
        <v>17571.54</v>
      </c>
      <c r="Y19" s="168">
        <f>31671.3-13036.62</f>
        <v>18634.68</v>
      </c>
      <c r="Z19" s="168">
        <f>188264.39-83403.76</f>
        <v>104860.63000000002</v>
      </c>
      <c r="AA19" s="18"/>
      <c r="AB19" s="219">
        <f>SUM(F19:K19)</f>
        <v>192673.06</v>
      </c>
      <c r="AC19" s="224">
        <f t="shared" ref="AC19" si="5">+Z19-AB19</f>
        <v>-87812.429999999978</v>
      </c>
      <c r="AD19" s="8">
        <f t="shared" si="4"/>
        <v>-0.45575873451119725</v>
      </c>
    </row>
    <row r="20" spans="1:30" x14ac:dyDescent="0.4">
      <c r="A20" s="62"/>
      <c r="B20" s="203" t="s">
        <v>57</v>
      </c>
      <c r="C20" s="168">
        <v>102.51</v>
      </c>
      <c r="D20" s="168">
        <v>8.5425000000000004</v>
      </c>
      <c r="E20" s="204" t="s">
        <v>19</v>
      </c>
      <c r="F20" s="168">
        <v>1706.73</v>
      </c>
      <c r="G20" s="168">
        <v>1399.44</v>
      </c>
      <c r="H20" s="168">
        <v>3346.39</v>
      </c>
      <c r="I20" s="168">
        <v>24578.14</v>
      </c>
      <c r="J20" s="168">
        <v>31888.49</v>
      </c>
      <c r="K20" s="168">
        <v>8762.5</v>
      </c>
      <c r="L20" s="168">
        <v>328.84</v>
      </c>
      <c r="M20" s="168">
        <v>3.1</v>
      </c>
      <c r="N20" s="168">
        <v>1846.12</v>
      </c>
      <c r="O20" s="168">
        <v>504.2</v>
      </c>
      <c r="P20" s="168">
        <v>1475</v>
      </c>
      <c r="Q20" s="168">
        <v>1331.12</v>
      </c>
      <c r="R20" s="168">
        <v>77170.070000000007</v>
      </c>
      <c r="S20" s="19"/>
      <c r="T20" s="168"/>
      <c r="U20" s="168">
        <v>1.75</v>
      </c>
      <c r="V20" s="168">
        <v>7133.15</v>
      </c>
      <c r="W20" s="168">
        <v>594.89</v>
      </c>
      <c r="X20" s="168">
        <v>933.75</v>
      </c>
      <c r="Y20" s="168">
        <v>16772.62</v>
      </c>
      <c r="Z20" s="168">
        <v>25436.16</v>
      </c>
      <c r="AA20" s="18"/>
      <c r="AB20" s="219">
        <f>SUM(F20:K20)</f>
        <v>71681.69</v>
      </c>
      <c r="AC20" s="224">
        <f t="shared" ref="AC20:AC23" si="6">+Z20-AB20</f>
        <v>-46245.53</v>
      </c>
      <c r="AD20" s="8">
        <f t="shared" ref="AD20:AD23" si="7">+AC20/AB20</f>
        <v>-0.64515122341563091</v>
      </c>
    </row>
    <row r="21" spans="1:30" x14ac:dyDescent="0.4">
      <c r="A21" s="62"/>
      <c r="B21" s="203" t="s">
        <v>58</v>
      </c>
      <c r="C21" s="168">
        <v>1691879.57</v>
      </c>
      <c r="D21" s="168">
        <v>140989.96416666667</v>
      </c>
      <c r="E21" s="204" t="s">
        <v>19</v>
      </c>
      <c r="F21" s="168">
        <v>193024.33</v>
      </c>
      <c r="G21" s="168">
        <v>94888.56</v>
      </c>
      <c r="H21" s="168">
        <v>114172.48</v>
      </c>
      <c r="I21" s="168">
        <v>78461.490000000005</v>
      </c>
      <c r="J21" s="168">
        <v>119956.54</v>
      </c>
      <c r="K21" s="168">
        <v>141385.46</v>
      </c>
      <c r="L21" s="168">
        <v>114224.39</v>
      </c>
      <c r="M21" s="168">
        <v>63381.42</v>
      </c>
      <c r="N21" s="168">
        <v>122569.99</v>
      </c>
      <c r="O21" s="168">
        <v>53301.3</v>
      </c>
      <c r="P21" s="168">
        <v>79860.31</v>
      </c>
      <c r="Q21" s="168">
        <v>109596.09</v>
      </c>
      <c r="R21" s="168">
        <v>1284822.3600000001</v>
      </c>
      <c r="S21" s="19"/>
      <c r="T21" s="168">
        <f>52280.99-2075</f>
        <v>50205.99</v>
      </c>
      <c r="U21" s="168">
        <f>80310.13-1450</f>
        <v>78860.13</v>
      </c>
      <c r="V21" s="168">
        <f>114714.66-5090</f>
        <v>109624.66</v>
      </c>
      <c r="W21" s="168">
        <f>72166.86-1456.78</f>
        <v>70710.080000000002</v>
      </c>
      <c r="X21" s="168">
        <f>59670.03-4453.63</f>
        <v>55216.4</v>
      </c>
      <c r="Y21" s="168">
        <f>77736.29-7498.57</f>
        <v>70237.72</v>
      </c>
      <c r="Z21" s="168">
        <f>456878.96-22023.98</f>
        <v>434854.98000000004</v>
      </c>
      <c r="AA21" s="18"/>
      <c r="AB21" s="219">
        <f>SUM(F21:K21)</f>
        <v>741888.86</v>
      </c>
      <c r="AC21" s="224">
        <f t="shared" si="6"/>
        <v>-307033.87999999995</v>
      </c>
      <c r="AD21" s="8">
        <f t="shared" si="7"/>
        <v>-0.41385428000630708</v>
      </c>
    </row>
    <row r="22" spans="1:30" x14ac:dyDescent="0.4">
      <c r="A22" s="62"/>
      <c r="B22" s="203" t="s">
        <v>59</v>
      </c>
      <c r="C22" s="168">
        <v>-2281441.96</v>
      </c>
      <c r="D22" s="168">
        <v>-190120.16333333333</v>
      </c>
      <c r="E22" s="204" t="s">
        <v>19</v>
      </c>
      <c r="F22" s="168">
        <v>2919.9</v>
      </c>
      <c r="G22" s="168">
        <v>6036.86</v>
      </c>
      <c r="H22" s="168">
        <v>2990</v>
      </c>
      <c r="I22" s="168">
        <v>6036.86</v>
      </c>
      <c r="J22" s="168">
        <v>5655.98</v>
      </c>
      <c r="K22" s="168">
        <v>5194</v>
      </c>
      <c r="L22" s="168">
        <v>9782</v>
      </c>
      <c r="M22" s="168">
        <v>6181.44</v>
      </c>
      <c r="N22" s="168">
        <v>3642.42</v>
      </c>
      <c r="O22" s="168">
        <v>8113.9</v>
      </c>
      <c r="P22" s="168">
        <v>3451.98</v>
      </c>
      <c r="Q22" s="168">
        <v>7986.94</v>
      </c>
      <c r="R22" s="168">
        <v>67992.28</v>
      </c>
      <c r="S22" s="19"/>
      <c r="T22" s="168">
        <v>652.41999999999996</v>
      </c>
      <c r="U22" s="168">
        <v>5250.61</v>
      </c>
      <c r="V22" s="168"/>
      <c r="W22" s="168">
        <v>6919.16</v>
      </c>
      <c r="X22" s="168">
        <v>8948.74</v>
      </c>
      <c r="Y22" s="168">
        <v>146.51</v>
      </c>
      <c r="Z22" s="168">
        <v>21917.439999999999</v>
      </c>
      <c r="AA22" s="18"/>
      <c r="AB22" s="219">
        <f>SUM(F22:K22)</f>
        <v>28833.599999999999</v>
      </c>
      <c r="AC22" s="224">
        <f t="shared" si="6"/>
        <v>-6916.16</v>
      </c>
      <c r="AD22" s="8">
        <f t="shared" si="7"/>
        <v>-0.23986460240830143</v>
      </c>
    </row>
    <row r="23" spans="1:30" x14ac:dyDescent="0.4">
      <c r="A23" s="62"/>
      <c r="B23" s="203" t="s">
        <v>60</v>
      </c>
      <c r="C23" s="169">
        <v>2555.23</v>
      </c>
      <c r="D23" s="169">
        <v>212.93583333333331</v>
      </c>
      <c r="E23" s="204" t="s">
        <v>19</v>
      </c>
      <c r="F23" s="169">
        <v>803.56</v>
      </c>
      <c r="G23" s="169">
        <v>362.06</v>
      </c>
      <c r="H23" s="169">
        <v>337.87</v>
      </c>
      <c r="I23" s="169">
        <v>337.97</v>
      </c>
      <c r="J23" s="169">
        <v>337.2</v>
      </c>
      <c r="K23" s="169"/>
      <c r="L23" s="169">
        <v>258.49</v>
      </c>
      <c r="M23" s="169"/>
      <c r="N23" s="169"/>
      <c r="O23" s="169"/>
      <c r="P23" s="169"/>
      <c r="Q23" s="169"/>
      <c r="R23" s="169">
        <v>2437.15</v>
      </c>
      <c r="S23" s="19"/>
      <c r="T23" s="169"/>
      <c r="U23" s="169"/>
      <c r="V23" s="169"/>
      <c r="W23" s="169"/>
      <c r="X23" s="169"/>
      <c r="Y23" s="169"/>
      <c r="Z23" s="169"/>
      <c r="AA23" s="19"/>
      <c r="AB23" s="215">
        <f>SUM(F23:K23)</f>
        <v>2178.66</v>
      </c>
      <c r="AC23" s="11">
        <f t="shared" si="6"/>
        <v>-2178.66</v>
      </c>
      <c r="AD23" s="12">
        <f t="shared" si="7"/>
        <v>-1</v>
      </c>
    </row>
    <row r="24" spans="1:30" x14ac:dyDescent="0.4">
      <c r="A24" s="62"/>
      <c r="B24" s="203" t="s">
        <v>62</v>
      </c>
      <c r="C24" s="169">
        <v>-53465.7</v>
      </c>
      <c r="D24" s="169">
        <v>-4455.4750000000004</v>
      </c>
      <c r="E24" s="204" t="s">
        <v>19</v>
      </c>
      <c r="F24" s="169">
        <v>244142.66</v>
      </c>
      <c r="G24" s="169">
        <v>137949.91</v>
      </c>
      <c r="H24" s="169">
        <v>148749.91</v>
      </c>
      <c r="I24" s="169">
        <v>136927.09</v>
      </c>
      <c r="J24" s="169">
        <v>185922.16</v>
      </c>
      <c r="K24" s="169">
        <v>183564.14</v>
      </c>
      <c r="L24" s="169">
        <v>157576</v>
      </c>
      <c r="M24" s="169">
        <v>97533.45</v>
      </c>
      <c r="N24" s="169">
        <v>156644.57999999999</v>
      </c>
      <c r="O24" s="169">
        <v>91817.61</v>
      </c>
      <c r="P24" s="169">
        <v>113940.91</v>
      </c>
      <c r="Q24" s="169">
        <v>147686.24</v>
      </c>
      <c r="R24" s="169">
        <v>1802454.66</v>
      </c>
      <c r="S24" s="19"/>
      <c r="T24" s="169">
        <f>SUM(T19:T23)</f>
        <v>67043.399999999994</v>
      </c>
      <c r="U24" s="169">
        <f t="shared" ref="U24:Z24" si="8">SUM(U19:U23)</f>
        <v>100252.29000000001</v>
      </c>
      <c r="V24" s="169">
        <f t="shared" si="8"/>
        <v>133142.10999999999</v>
      </c>
      <c r="W24" s="169">
        <f t="shared" si="8"/>
        <v>98169.450000000012</v>
      </c>
      <c r="X24" s="169">
        <f t="shared" si="8"/>
        <v>82670.430000000008</v>
      </c>
      <c r="Y24" s="169">
        <f t="shared" si="8"/>
        <v>105791.53</v>
      </c>
      <c r="Z24" s="169">
        <f t="shared" si="8"/>
        <v>587069.21</v>
      </c>
      <c r="AA24" s="19"/>
      <c r="AB24" s="169">
        <f>SUM(AB19:AB23)</f>
        <v>1037255.87</v>
      </c>
      <c r="AC24" s="169">
        <f>SUM(AC19:AC23)</f>
        <v>-450186.65999999986</v>
      </c>
      <c r="AD24" s="12">
        <f t="shared" si="4"/>
        <v>-0.4340169798219603</v>
      </c>
    </row>
    <row r="25" spans="1:30" s="37" customFormat="1" x14ac:dyDescent="0.4">
      <c r="A25" s="67"/>
      <c r="B25" s="203"/>
      <c r="C25" s="167"/>
      <c r="D25" s="167"/>
      <c r="E25" s="204" t="s">
        <v>19</v>
      </c>
      <c r="F25" s="167"/>
      <c r="G25" s="167"/>
      <c r="H25" s="167"/>
      <c r="I25" s="167"/>
      <c r="J25" s="167"/>
      <c r="K25" s="167"/>
      <c r="L25" s="167"/>
      <c r="M25" s="167"/>
      <c r="N25" s="167"/>
      <c r="O25" s="167"/>
      <c r="P25" s="167"/>
      <c r="Q25" s="167"/>
      <c r="R25" s="167"/>
      <c r="S25" s="66"/>
      <c r="T25" s="167"/>
      <c r="U25" s="167"/>
      <c r="V25" s="167"/>
      <c r="W25" s="167"/>
      <c r="X25" s="167"/>
      <c r="Y25" s="167"/>
      <c r="Z25" s="167"/>
      <c r="AA25" s="64"/>
      <c r="AB25" s="167"/>
      <c r="AC25" s="4"/>
      <c r="AD25" s="5"/>
    </row>
    <row r="26" spans="1:30" x14ac:dyDescent="0.4">
      <c r="A26" s="62" t="s">
        <v>64</v>
      </c>
      <c r="B26" s="203" t="s">
        <v>63</v>
      </c>
      <c r="C26" s="167"/>
      <c r="D26" s="167"/>
      <c r="E26" s="204" t="s">
        <v>19</v>
      </c>
      <c r="F26" s="167"/>
      <c r="G26" s="167"/>
      <c r="H26" s="167"/>
      <c r="I26" s="167"/>
      <c r="J26" s="167"/>
      <c r="K26" s="167"/>
      <c r="L26" s="167"/>
      <c r="M26" s="167"/>
      <c r="N26" s="167"/>
      <c r="O26" s="167"/>
      <c r="P26" s="167"/>
      <c r="Q26" s="167"/>
      <c r="R26" s="167"/>
      <c r="S26" s="19"/>
      <c r="T26" s="167"/>
      <c r="U26" s="167"/>
      <c r="V26" s="167"/>
      <c r="W26" s="167"/>
      <c r="X26" s="167"/>
      <c r="Y26" s="167"/>
      <c r="Z26" s="167"/>
      <c r="AA26" s="19"/>
      <c r="AB26" s="167"/>
      <c r="AC26" s="4"/>
      <c r="AD26" s="5"/>
    </row>
    <row r="27" spans="1:30" x14ac:dyDescent="0.4">
      <c r="A27" s="62"/>
      <c r="B27" s="203" t="s">
        <v>65</v>
      </c>
      <c r="C27" s="169">
        <v>-1385712</v>
      </c>
      <c r="D27" s="169">
        <v>-115476</v>
      </c>
      <c r="E27" s="204" t="s">
        <v>19</v>
      </c>
      <c r="F27" s="169">
        <v>-115576</v>
      </c>
      <c r="G27" s="169">
        <v>-115576</v>
      </c>
      <c r="H27" s="169">
        <v>-115576</v>
      </c>
      <c r="I27" s="169">
        <v>-115576</v>
      </c>
      <c r="J27" s="169">
        <v>-115576</v>
      </c>
      <c r="K27" s="169">
        <v>-115576</v>
      </c>
      <c r="L27" s="169">
        <v>-115576</v>
      </c>
      <c r="M27" s="169">
        <v>-115576</v>
      </c>
      <c r="N27" s="169">
        <v>-115576</v>
      </c>
      <c r="O27" s="169">
        <v>-115576</v>
      </c>
      <c r="P27" s="169">
        <v>-115576</v>
      </c>
      <c r="Q27" s="169">
        <v>-115576</v>
      </c>
      <c r="R27" s="169">
        <v>-1386912</v>
      </c>
      <c r="S27" s="19"/>
      <c r="T27" s="169">
        <f>+T105</f>
        <v>-119513.37</v>
      </c>
      <c r="U27" s="169">
        <f t="shared" ref="U27:Z27" si="9">+U105</f>
        <v>-115576</v>
      </c>
      <c r="V27" s="169">
        <f t="shared" si="9"/>
        <v>-121623</v>
      </c>
      <c r="W27" s="169">
        <f t="shared" si="9"/>
        <v>-119492.67</v>
      </c>
      <c r="X27" s="169">
        <f t="shared" si="9"/>
        <v>-119492.67</v>
      </c>
      <c r="Y27" s="169">
        <f t="shared" si="9"/>
        <v>-115576</v>
      </c>
      <c r="Z27" s="169">
        <f t="shared" si="9"/>
        <v>-711273.71</v>
      </c>
      <c r="AA27" s="19"/>
      <c r="AB27" s="169">
        <f>SUM(F27:K27)</f>
        <v>-693456</v>
      </c>
      <c r="AC27" s="11">
        <f>+Z27-AB27</f>
        <v>-17817.709999999963</v>
      </c>
      <c r="AD27" s="5">
        <f t="shared" si="4"/>
        <v>2.5694074317620674E-2</v>
      </c>
    </row>
    <row r="28" spans="1:30" x14ac:dyDescent="0.4">
      <c r="A28" s="62"/>
      <c r="B28" s="203" t="s">
        <v>70</v>
      </c>
      <c r="C28" s="169">
        <v>-1385712</v>
      </c>
      <c r="D28" s="169">
        <v>-115476</v>
      </c>
      <c r="E28" s="204" t="s">
        <v>19</v>
      </c>
      <c r="F28" s="169">
        <v>-115576</v>
      </c>
      <c r="G28" s="169">
        <v>-115576</v>
      </c>
      <c r="H28" s="169">
        <v>-115576</v>
      </c>
      <c r="I28" s="169">
        <v>-115576</v>
      </c>
      <c r="J28" s="169">
        <v>-115576</v>
      </c>
      <c r="K28" s="169">
        <v>-115576</v>
      </c>
      <c r="L28" s="169">
        <v>-115576</v>
      </c>
      <c r="M28" s="169">
        <v>-115576</v>
      </c>
      <c r="N28" s="169">
        <v>-115576</v>
      </c>
      <c r="O28" s="169">
        <v>-115576</v>
      </c>
      <c r="P28" s="169">
        <v>-115576</v>
      </c>
      <c r="Q28" s="169">
        <v>-115576</v>
      </c>
      <c r="R28" s="169">
        <v>-1386912</v>
      </c>
      <c r="S28" s="66"/>
      <c r="T28" s="169">
        <f>SUM(T27)</f>
        <v>-119513.37</v>
      </c>
      <c r="U28" s="169">
        <f t="shared" ref="U28:Z28" si="10">SUM(U27)</f>
        <v>-115576</v>
      </c>
      <c r="V28" s="169">
        <f t="shared" si="10"/>
        <v>-121623</v>
      </c>
      <c r="W28" s="169">
        <f t="shared" si="10"/>
        <v>-119492.67</v>
      </c>
      <c r="X28" s="169">
        <f t="shared" si="10"/>
        <v>-119492.67</v>
      </c>
      <c r="Y28" s="169">
        <f t="shared" si="10"/>
        <v>-115576</v>
      </c>
      <c r="Z28" s="169">
        <f t="shared" si="10"/>
        <v>-711273.71</v>
      </c>
      <c r="AA28" s="64"/>
      <c r="AB28" s="169">
        <f>SUM(AB27)</f>
        <v>-693456</v>
      </c>
      <c r="AC28" s="169">
        <f>SUM(AC27)</f>
        <v>-17817.709999999963</v>
      </c>
      <c r="AD28" s="10">
        <f t="shared" si="4"/>
        <v>2.5694074317620674E-2</v>
      </c>
    </row>
    <row r="29" spans="1:30" x14ac:dyDescent="0.4">
      <c r="A29" s="62"/>
      <c r="B29" s="203"/>
      <c r="C29" s="167"/>
      <c r="D29" s="167"/>
      <c r="E29" s="204" t="s">
        <v>19</v>
      </c>
      <c r="F29" s="167"/>
      <c r="G29" s="167"/>
      <c r="H29" s="167"/>
      <c r="I29" s="167"/>
      <c r="J29" s="167"/>
      <c r="K29" s="167"/>
      <c r="L29" s="167"/>
      <c r="M29" s="167"/>
      <c r="N29" s="167"/>
      <c r="O29" s="167"/>
      <c r="P29" s="167"/>
      <c r="Q29" s="167"/>
      <c r="R29" s="167"/>
      <c r="S29" s="19"/>
      <c r="T29" s="167"/>
      <c r="U29" s="167"/>
      <c r="V29" s="167"/>
      <c r="W29" s="167"/>
      <c r="X29" s="167"/>
      <c r="Y29" s="167"/>
      <c r="Z29" s="167"/>
      <c r="AA29" s="19"/>
      <c r="AB29" s="167"/>
      <c r="AC29" s="4"/>
      <c r="AD29" s="5"/>
    </row>
    <row r="30" spans="1:30" x14ac:dyDescent="0.4">
      <c r="A30" s="62"/>
      <c r="B30" s="203" t="s">
        <v>71</v>
      </c>
      <c r="C30" s="169">
        <v>-1439177.7</v>
      </c>
      <c r="D30" s="169">
        <v>-119931.47500000001</v>
      </c>
      <c r="E30" s="204" t="s">
        <v>19</v>
      </c>
      <c r="F30" s="169">
        <v>128566.66</v>
      </c>
      <c r="G30" s="169">
        <v>22373.91</v>
      </c>
      <c r="H30" s="169">
        <v>33173.910000000003</v>
      </c>
      <c r="I30" s="169">
        <v>21351.09</v>
      </c>
      <c r="J30" s="169">
        <v>70346.16</v>
      </c>
      <c r="K30" s="169">
        <v>67988.14</v>
      </c>
      <c r="L30" s="169">
        <v>42000</v>
      </c>
      <c r="M30" s="169">
        <v>-18042.55</v>
      </c>
      <c r="N30" s="169">
        <v>41068.58</v>
      </c>
      <c r="O30" s="169">
        <v>-23758.39</v>
      </c>
      <c r="P30" s="169">
        <v>-1635.09</v>
      </c>
      <c r="Q30" s="169">
        <v>32110.240000000002</v>
      </c>
      <c r="R30" s="169">
        <v>415542.66</v>
      </c>
      <c r="S30" s="66"/>
      <c r="T30" s="169">
        <f>+T24+T28</f>
        <v>-52469.97</v>
      </c>
      <c r="U30" s="169">
        <f t="shared" ref="U30:Z30" si="11">+U24+U28</f>
        <v>-15323.709999999992</v>
      </c>
      <c r="V30" s="169">
        <f t="shared" si="11"/>
        <v>11519.109999999986</v>
      </c>
      <c r="W30" s="169">
        <f t="shared" si="11"/>
        <v>-21323.219999999987</v>
      </c>
      <c r="X30" s="169">
        <f t="shared" si="11"/>
        <v>-36822.239999999991</v>
      </c>
      <c r="Y30" s="169">
        <f t="shared" si="11"/>
        <v>-9784.4700000000012</v>
      </c>
      <c r="Z30" s="169">
        <f t="shared" si="11"/>
        <v>-124204.5</v>
      </c>
      <c r="AA30" s="19"/>
      <c r="AB30" s="169">
        <f>SUM(F30:K30)</f>
        <v>343799.87</v>
      </c>
      <c r="AC30" s="11">
        <f>+Z30-AB30</f>
        <v>-468004.37</v>
      </c>
      <c r="AD30" s="12">
        <f t="shared" si="4"/>
        <v>-1.361269770113642</v>
      </c>
    </row>
    <row r="31" spans="1:30" x14ac:dyDescent="0.4">
      <c r="A31" s="62"/>
      <c r="B31" s="203"/>
      <c r="C31" s="167"/>
      <c r="D31" s="167"/>
      <c r="E31" s="204" t="s">
        <v>19</v>
      </c>
      <c r="F31" s="167"/>
      <c r="G31" s="167"/>
      <c r="H31" s="167"/>
      <c r="I31" s="167"/>
      <c r="J31" s="167"/>
      <c r="K31" s="167"/>
      <c r="L31" s="167"/>
      <c r="M31" s="167"/>
      <c r="N31" s="167"/>
      <c r="O31" s="167"/>
      <c r="P31" s="167"/>
      <c r="Q31" s="167"/>
      <c r="R31" s="167"/>
      <c r="S31" s="66"/>
      <c r="T31" s="170"/>
      <c r="U31" s="170"/>
      <c r="V31" s="170"/>
      <c r="W31" s="170"/>
      <c r="X31" s="170"/>
      <c r="Y31" s="170"/>
      <c r="Z31" s="170"/>
      <c r="AA31" s="19"/>
      <c r="AB31" s="167"/>
      <c r="AC31" s="4"/>
      <c r="AD31" s="5"/>
    </row>
    <row r="32" spans="1:30" ht="15" thickBot="1" x14ac:dyDescent="0.45">
      <c r="A32" s="62" t="s">
        <v>77</v>
      </c>
      <c r="B32" s="203" t="s">
        <v>72</v>
      </c>
      <c r="C32" s="183">
        <v>2576654.73</v>
      </c>
      <c r="D32" s="183">
        <v>214721.22750000001</v>
      </c>
      <c r="E32" s="204" t="s">
        <v>19</v>
      </c>
      <c r="F32" s="183">
        <v>-91012.68</v>
      </c>
      <c r="G32" s="183">
        <v>43291.12</v>
      </c>
      <c r="H32" s="183">
        <v>29336.25</v>
      </c>
      <c r="I32" s="183">
        <v>86363.54</v>
      </c>
      <c r="J32" s="183">
        <v>-20619.39</v>
      </c>
      <c r="K32" s="183">
        <v>14636.53</v>
      </c>
      <c r="L32" s="183">
        <v>6882.21</v>
      </c>
      <c r="M32" s="183">
        <v>49270.34</v>
      </c>
      <c r="N32" s="183">
        <v>37854.99</v>
      </c>
      <c r="O32" s="183">
        <v>63754.95</v>
      </c>
      <c r="P32" s="183">
        <v>32992.160000000003</v>
      </c>
      <c r="Q32" s="183">
        <v>15953.74</v>
      </c>
      <c r="R32" s="183">
        <v>268703.76</v>
      </c>
      <c r="S32" s="66"/>
      <c r="T32" s="171">
        <f>+T16-T30</f>
        <v>66952.19</v>
      </c>
      <c r="U32" s="171">
        <f t="shared" ref="U32:Z32" si="12">+U16-U30</f>
        <v>31429.149999999994</v>
      </c>
      <c r="V32" s="171">
        <f t="shared" si="12"/>
        <v>21443.300000000017</v>
      </c>
      <c r="W32" s="171">
        <f t="shared" si="12"/>
        <v>321232.16999999993</v>
      </c>
      <c r="X32" s="171">
        <f t="shared" si="12"/>
        <v>79327.709999999992</v>
      </c>
      <c r="Y32" s="171">
        <f t="shared" si="12"/>
        <v>28162.280000000002</v>
      </c>
      <c r="Z32" s="171">
        <f t="shared" si="12"/>
        <v>548546.80000000005</v>
      </c>
      <c r="AA32" s="19"/>
      <c r="AB32" s="183">
        <f>SUM(F32:K32)</f>
        <v>61995.37000000001</v>
      </c>
      <c r="AC32" s="13">
        <f>+Z32-AB32</f>
        <v>486551.43000000005</v>
      </c>
      <c r="AD32" s="14">
        <f t="shared" si="4"/>
        <v>7.8481897922377106</v>
      </c>
    </row>
    <row r="33" spans="1:33" ht="15" thickTop="1" x14ac:dyDescent="0.4">
      <c r="A33" s="62" t="s">
        <v>79</v>
      </c>
      <c r="B33" s="203"/>
      <c r="C33" s="167"/>
      <c r="D33" s="167"/>
      <c r="E33" s="204" t="s">
        <v>19</v>
      </c>
      <c r="F33" s="167"/>
      <c r="G33" s="167"/>
      <c r="H33" s="167"/>
      <c r="I33" s="167"/>
      <c r="J33" s="167"/>
      <c r="K33" s="167"/>
      <c r="L33" s="167"/>
      <c r="M33" s="167"/>
      <c r="N33" s="167"/>
      <c r="O33" s="167"/>
      <c r="P33" s="167"/>
      <c r="Q33" s="167"/>
      <c r="R33" s="167"/>
      <c r="S33" s="19"/>
      <c r="T33" s="167"/>
      <c r="U33" s="167"/>
      <c r="V33" s="167"/>
      <c r="W33" s="167"/>
      <c r="X33" s="167"/>
      <c r="Y33" s="167"/>
      <c r="Z33" s="167"/>
      <c r="AA33" s="19"/>
      <c r="AB33" s="167"/>
      <c r="AC33" s="4"/>
      <c r="AD33" s="5"/>
    </row>
    <row r="34" spans="1:33" x14ac:dyDescent="0.4">
      <c r="A34" s="62" t="s">
        <v>81</v>
      </c>
      <c r="B34" s="203" t="s">
        <v>73</v>
      </c>
      <c r="C34" s="167"/>
      <c r="D34" s="167"/>
      <c r="E34" s="204" t="s">
        <v>19</v>
      </c>
      <c r="F34" s="167"/>
      <c r="G34" s="167"/>
      <c r="H34" s="167"/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9"/>
      <c r="T34" s="167"/>
      <c r="U34" s="167"/>
      <c r="V34" s="167"/>
      <c r="W34" s="167"/>
      <c r="X34" s="167"/>
      <c r="Y34" s="167"/>
      <c r="Z34" s="167"/>
      <c r="AA34" s="19"/>
      <c r="AB34" s="167"/>
      <c r="AC34" s="4"/>
      <c r="AD34" s="5"/>
    </row>
    <row r="35" spans="1:33" x14ac:dyDescent="0.4">
      <c r="A35" s="62" t="s">
        <v>83</v>
      </c>
      <c r="B35" s="203" t="s">
        <v>74</v>
      </c>
      <c r="C35" s="167"/>
      <c r="D35" s="167"/>
      <c r="E35" s="204" t="s">
        <v>19</v>
      </c>
      <c r="F35" s="167"/>
      <c r="G35" s="167"/>
      <c r="H35" s="167"/>
      <c r="I35" s="167"/>
      <c r="J35" s="167"/>
      <c r="K35" s="167"/>
      <c r="L35" s="167"/>
      <c r="M35" s="167"/>
      <c r="N35" s="167"/>
      <c r="O35" s="167"/>
      <c r="P35" s="167"/>
      <c r="Q35" s="167"/>
      <c r="R35" s="167"/>
      <c r="S35" s="19"/>
      <c r="T35" s="167"/>
      <c r="U35" s="167"/>
      <c r="V35" s="167"/>
      <c r="W35" s="167"/>
      <c r="X35" s="167"/>
      <c r="Y35" s="167"/>
      <c r="Z35" s="167"/>
      <c r="AA35" s="64"/>
      <c r="AB35" s="167"/>
      <c r="AC35" s="4"/>
      <c r="AD35" s="5"/>
    </row>
    <row r="36" spans="1:33" x14ac:dyDescent="0.4">
      <c r="A36" s="62" t="s">
        <v>85</v>
      </c>
      <c r="B36" s="203" t="s">
        <v>76</v>
      </c>
      <c r="C36" s="168">
        <v>420304.25</v>
      </c>
      <c r="D36" s="168">
        <v>35025.354166666664</v>
      </c>
      <c r="E36" s="204" t="s">
        <v>19</v>
      </c>
      <c r="F36" s="168">
        <v>32266.26</v>
      </c>
      <c r="G36" s="168">
        <v>27510.86</v>
      </c>
      <c r="H36" s="168">
        <v>20159.2</v>
      </c>
      <c r="I36" s="168">
        <v>21877.86</v>
      </c>
      <c r="J36" s="168">
        <v>22435.88</v>
      </c>
      <c r="K36" s="168">
        <v>22660.880000000001</v>
      </c>
      <c r="L36" s="168">
        <v>26856.48</v>
      </c>
      <c r="M36" s="168">
        <v>22850.880000000001</v>
      </c>
      <c r="N36" s="168">
        <v>23165.88</v>
      </c>
      <c r="O36" s="168">
        <v>24288.38</v>
      </c>
      <c r="P36" s="168">
        <v>23113.38</v>
      </c>
      <c r="Q36" s="168">
        <v>23392.38</v>
      </c>
      <c r="R36" s="168">
        <v>290578.32</v>
      </c>
      <c r="S36" s="19"/>
      <c r="T36" s="168">
        <f>27354.4-14087.22</f>
        <v>13267.180000000002</v>
      </c>
      <c r="U36" s="168">
        <f>24188.18-10960</f>
        <v>13228.18</v>
      </c>
      <c r="V36" s="168">
        <f>24313.05-10975.37</f>
        <v>13337.679999999998</v>
      </c>
      <c r="W36" s="168">
        <f>23654.68-10200</f>
        <v>13454.68</v>
      </c>
      <c r="X36" s="168">
        <f>24822.58-10830</f>
        <v>13992.580000000002</v>
      </c>
      <c r="Y36" s="168">
        <f>25038.71-10420</f>
        <v>14618.71</v>
      </c>
      <c r="Z36" s="168">
        <f>SUM(T36:Y36)</f>
        <v>81899.010000000009</v>
      </c>
      <c r="AA36" s="64"/>
      <c r="AB36" s="219">
        <f t="shared" ref="AB36:AB42" si="13">SUM(F36:K36)</f>
        <v>146910.94</v>
      </c>
      <c r="AC36" s="224">
        <f>+Z36-AB36</f>
        <v>-65011.929999999993</v>
      </c>
      <c r="AD36" s="8">
        <f t="shared" si="4"/>
        <v>-0.44252613181836553</v>
      </c>
      <c r="AG36" s="219"/>
    </row>
    <row r="37" spans="1:33" x14ac:dyDescent="0.4">
      <c r="A37" s="62" t="s">
        <v>87</v>
      </c>
      <c r="B37" s="203" t="s">
        <v>78</v>
      </c>
      <c r="C37" s="168">
        <v>30984.400000000001</v>
      </c>
      <c r="D37" s="168">
        <v>2582.0333333333333</v>
      </c>
      <c r="E37" s="204" t="s">
        <v>19</v>
      </c>
      <c r="F37" s="168">
        <v>2468.36</v>
      </c>
      <c r="G37" s="168">
        <v>2104.58</v>
      </c>
      <c r="H37" s="168">
        <v>1542.16</v>
      </c>
      <c r="I37" s="168">
        <v>1673.65</v>
      </c>
      <c r="J37" s="168">
        <v>1716.34</v>
      </c>
      <c r="K37" s="168">
        <v>1733.55</v>
      </c>
      <c r="L37" s="168">
        <v>2054.52</v>
      </c>
      <c r="M37" s="168">
        <v>1452.37</v>
      </c>
      <c r="N37" s="168">
        <v>1772.19</v>
      </c>
      <c r="O37" s="168">
        <v>1858.04</v>
      </c>
      <c r="P37" s="168">
        <v>2419.91</v>
      </c>
      <c r="Q37" s="168">
        <v>1789.5</v>
      </c>
      <c r="R37" s="168">
        <v>22585.17</v>
      </c>
      <c r="S37" s="19"/>
      <c r="T37" s="168">
        <f>2092.61-1077.67</f>
        <v>1014.94</v>
      </c>
      <c r="U37" s="168">
        <f>1850.4-838.44</f>
        <v>1011.96</v>
      </c>
      <c r="V37" s="168">
        <f>1859.96-839.63</f>
        <v>1020.33</v>
      </c>
      <c r="W37" s="168">
        <f>4743.04-780.3</f>
        <v>3962.74</v>
      </c>
      <c r="X37" s="168">
        <f>1898.94-828.5</f>
        <v>1070.44</v>
      </c>
      <c r="Y37" s="168">
        <f>2471.63-797.13</f>
        <v>1674.5</v>
      </c>
      <c r="Z37" s="168">
        <f t="shared" ref="Z37:Z41" si="14">SUM(T37:Y37)</f>
        <v>9754.91</v>
      </c>
      <c r="AA37" s="18"/>
      <c r="AB37" s="219">
        <f t="shared" si="13"/>
        <v>11238.64</v>
      </c>
      <c r="AC37" s="224">
        <f t="shared" ref="AC37:AC42" si="15">+Z37-AB37</f>
        <v>-1483.7299999999996</v>
      </c>
      <c r="AD37" s="8">
        <f t="shared" ref="AD37:AD42" si="16">+AC37/AB37</f>
        <v>-0.13202042239986331</v>
      </c>
      <c r="AG37" s="219"/>
    </row>
    <row r="38" spans="1:33" x14ac:dyDescent="0.4">
      <c r="A38" s="62"/>
      <c r="B38" s="203" t="s">
        <v>80</v>
      </c>
      <c r="C38" s="168">
        <v>1653.02</v>
      </c>
      <c r="D38" s="168">
        <v>137.75166666666669</v>
      </c>
      <c r="E38" s="204" t="s">
        <v>19</v>
      </c>
      <c r="F38" s="168">
        <v>76.48</v>
      </c>
      <c r="G38" s="168">
        <v>56.18</v>
      </c>
      <c r="H38" s="168">
        <v>43.77</v>
      </c>
      <c r="I38" s="168">
        <v>749.99</v>
      </c>
      <c r="J38" s="168">
        <v>435.76</v>
      </c>
      <c r="K38" s="168">
        <v>327.27999999999997</v>
      </c>
      <c r="L38" s="168">
        <v>471.42</v>
      </c>
      <c r="M38" s="168">
        <v>144.49</v>
      </c>
      <c r="N38" s="168">
        <v>121.93</v>
      </c>
      <c r="O38" s="168">
        <v>203.29</v>
      </c>
      <c r="P38" s="168">
        <v>82.68</v>
      </c>
      <c r="Q38" s="168">
        <v>64.63</v>
      </c>
      <c r="R38" s="168">
        <v>2777.9</v>
      </c>
      <c r="S38" s="19"/>
      <c r="T38" s="168">
        <v>59.35</v>
      </c>
      <c r="U38" s="168">
        <v>56.92</v>
      </c>
      <c r="V38" s="168">
        <v>26.51</v>
      </c>
      <c r="W38" s="168">
        <v>513.24</v>
      </c>
      <c r="X38" s="168">
        <v>496.07</v>
      </c>
      <c r="Y38" s="168">
        <v>322.27999999999997</v>
      </c>
      <c r="Z38" s="168">
        <f t="shared" si="14"/>
        <v>1474.37</v>
      </c>
      <c r="AA38" s="18"/>
      <c r="AB38" s="219">
        <f t="shared" si="13"/>
        <v>1689.46</v>
      </c>
      <c r="AC38" s="224">
        <f t="shared" si="15"/>
        <v>-215.09000000000015</v>
      </c>
      <c r="AD38" s="8">
        <f t="shared" si="16"/>
        <v>-0.12731286920080981</v>
      </c>
      <c r="AG38" s="219"/>
    </row>
    <row r="39" spans="1:33" x14ac:dyDescent="0.4">
      <c r="A39" s="62"/>
      <c r="B39" s="203" t="s">
        <v>82</v>
      </c>
      <c r="C39" s="168">
        <v>9554.4</v>
      </c>
      <c r="D39" s="168">
        <v>796.2</v>
      </c>
      <c r="E39" s="204" t="s">
        <v>19</v>
      </c>
      <c r="F39" s="168">
        <v>895.85</v>
      </c>
      <c r="G39" s="168">
        <v>691.43</v>
      </c>
      <c r="H39" s="168">
        <v>547.12</v>
      </c>
      <c r="I39" s="168">
        <v>245.76</v>
      </c>
      <c r="J39" s="168">
        <v>448.72</v>
      </c>
      <c r="K39" s="168">
        <v>453.22</v>
      </c>
      <c r="L39" s="168">
        <v>537.13</v>
      </c>
      <c r="M39" s="168">
        <v>457.02</v>
      </c>
      <c r="N39" s="168">
        <v>463.32</v>
      </c>
      <c r="O39" s="168">
        <v>485.77</v>
      </c>
      <c r="P39" s="168">
        <v>716.92</v>
      </c>
      <c r="Q39" s="168">
        <v>467.85</v>
      </c>
      <c r="R39" s="168">
        <v>6410.11</v>
      </c>
      <c r="S39" s="66"/>
      <c r="T39" s="168">
        <f>547.08-281.74</f>
        <v>265.34000000000003</v>
      </c>
      <c r="U39" s="168">
        <f>483.76-219.2</f>
        <v>264.56</v>
      </c>
      <c r="V39" s="168">
        <f>486.26-219.51</f>
        <v>266.75</v>
      </c>
      <c r="W39" s="168">
        <f>473.09-204</f>
        <v>269.08999999999997</v>
      </c>
      <c r="X39" s="168">
        <f>496.45-216.6</f>
        <v>279.85000000000002</v>
      </c>
      <c r="Y39" s="168">
        <f>500.77-208.4</f>
        <v>292.37</v>
      </c>
      <c r="Z39" s="168">
        <f t="shared" si="14"/>
        <v>1637.96</v>
      </c>
      <c r="AA39" s="18"/>
      <c r="AB39" s="219">
        <f t="shared" si="13"/>
        <v>3282.1000000000004</v>
      </c>
      <c r="AC39" s="224">
        <f t="shared" si="15"/>
        <v>-1644.1400000000003</v>
      </c>
      <c r="AD39" s="8">
        <f t="shared" si="16"/>
        <v>-0.50094147040004877</v>
      </c>
      <c r="AG39" s="219"/>
    </row>
    <row r="40" spans="1:33" x14ac:dyDescent="0.4">
      <c r="A40" s="62"/>
      <c r="B40" s="203" t="s">
        <v>84</v>
      </c>
      <c r="C40" s="168">
        <v>6884.72</v>
      </c>
      <c r="D40" s="168">
        <v>573.72666666666669</v>
      </c>
      <c r="E40" s="204" t="s">
        <v>19</v>
      </c>
      <c r="F40" s="168">
        <v>897.06</v>
      </c>
      <c r="G40" s="168">
        <v>697.06</v>
      </c>
      <c r="H40" s="168">
        <v>497.06</v>
      </c>
      <c r="I40" s="168">
        <v>497.06</v>
      </c>
      <c r="J40" s="168">
        <v>497.06</v>
      </c>
      <c r="K40" s="168">
        <v>497.06</v>
      </c>
      <c r="L40" s="168">
        <v>497.06</v>
      </c>
      <c r="M40" s="168">
        <v>497.06</v>
      </c>
      <c r="N40" s="168">
        <v>497.06</v>
      </c>
      <c r="O40" s="168">
        <v>497.06</v>
      </c>
      <c r="P40" s="168">
        <v>497.06</v>
      </c>
      <c r="Q40" s="168">
        <v>497.06</v>
      </c>
      <c r="R40" s="168">
        <v>6564.72</v>
      </c>
      <c r="S40" s="66"/>
      <c r="T40" s="168">
        <f>517.37-195.49</f>
        <v>321.88</v>
      </c>
      <c r="U40" s="168">
        <f>521.88-200</f>
        <v>321.88</v>
      </c>
      <c r="V40" s="168">
        <f>521.88-200</f>
        <v>321.88</v>
      </c>
      <c r="W40" s="168">
        <f>521.88-200</f>
        <v>321.88</v>
      </c>
      <c r="X40" s="168">
        <f>521.88-200</f>
        <v>321.88</v>
      </c>
      <c r="Y40" s="168">
        <f>521.88-200</f>
        <v>321.88</v>
      </c>
      <c r="Z40" s="168">
        <f t="shared" si="14"/>
        <v>1931.2800000000002</v>
      </c>
      <c r="AA40" s="18"/>
      <c r="AB40" s="219">
        <f t="shared" si="13"/>
        <v>3582.3599999999997</v>
      </c>
      <c r="AC40" s="224">
        <f t="shared" si="15"/>
        <v>-1651.0799999999995</v>
      </c>
      <c r="AD40" s="8">
        <f t="shared" si="16"/>
        <v>-0.4608917026764478</v>
      </c>
      <c r="AG40" s="219"/>
    </row>
    <row r="41" spans="1:33" x14ac:dyDescent="0.4">
      <c r="A41" s="62"/>
      <c r="B41" s="203" t="s">
        <v>86</v>
      </c>
      <c r="C41" s="168">
        <v>62558.16</v>
      </c>
      <c r="D41" s="168">
        <v>5213.18</v>
      </c>
      <c r="E41" s="204" t="s">
        <v>19</v>
      </c>
      <c r="F41" s="168">
        <v>9084.1299999999992</v>
      </c>
      <c r="G41" s="168">
        <v>4202.88</v>
      </c>
      <c r="H41" s="168">
        <v>5113.8599999999997</v>
      </c>
      <c r="I41" s="168">
        <v>2468.31</v>
      </c>
      <c r="J41" s="168">
        <v>2550.19</v>
      </c>
      <c r="K41" s="168">
        <v>2550.19</v>
      </c>
      <c r="L41" s="168">
        <v>2565.67</v>
      </c>
      <c r="M41" s="168">
        <v>2565.67</v>
      </c>
      <c r="N41" s="168">
        <v>2565.67</v>
      </c>
      <c r="O41" s="168">
        <v>2565.67</v>
      </c>
      <c r="P41" s="168">
        <v>2323.67</v>
      </c>
      <c r="Q41" s="168">
        <v>2560.67</v>
      </c>
      <c r="R41" s="168">
        <v>41116.58</v>
      </c>
      <c r="S41" s="66"/>
      <c r="T41" s="168">
        <f>2552.01-1295.71</f>
        <v>1256.3000000000002</v>
      </c>
      <c r="U41" s="168">
        <f>2552.01-1295.71</f>
        <v>1256.3000000000002</v>
      </c>
      <c r="V41" s="168">
        <f>2821.89-1410.74</f>
        <v>1411.1499999999999</v>
      </c>
      <c r="W41" s="168">
        <f>2829.69-1406</f>
        <v>1423.69</v>
      </c>
      <c r="X41" s="168">
        <f>2816.03-1405.31</f>
        <v>1410.7200000000003</v>
      </c>
      <c r="Y41" s="168">
        <f>2816.03-1411.09</f>
        <v>1404.9400000000003</v>
      </c>
      <c r="Z41" s="168">
        <f t="shared" si="14"/>
        <v>8163.1000000000013</v>
      </c>
      <c r="AA41" s="66"/>
      <c r="AB41" s="219">
        <f t="shared" si="13"/>
        <v>25969.559999999998</v>
      </c>
      <c r="AC41" s="224">
        <f t="shared" si="15"/>
        <v>-17806.459999999995</v>
      </c>
      <c r="AD41" s="8">
        <f t="shared" si="16"/>
        <v>-0.68566660351580844</v>
      </c>
      <c r="AG41" s="219"/>
    </row>
    <row r="42" spans="1:33" x14ac:dyDescent="0.4">
      <c r="A42" s="62" t="s">
        <v>91</v>
      </c>
      <c r="B42" s="203" t="s">
        <v>88</v>
      </c>
      <c r="C42" s="169">
        <v>1500</v>
      </c>
      <c r="D42" s="169">
        <v>125</v>
      </c>
      <c r="E42" s="204" t="s">
        <v>19</v>
      </c>
      <c r="F42" s="170"/>
      <c r="G42" s="170"/>
      <c r="H42" s="170"/>
      <c r="I42" s="170"/>
      <c r="J42" s="170"/>
      <c r="K42" s="170"/>
      <c r="L42" s="170"/>
      <c r="M42" s="170"/>
      <c r="N42" s="170"/>
      <c r="O42" s="170"/>
      <c r="P42" s="170"/>
      <c r="Q42" s="170"/>
      <c r="R42" s="170"/>
      <c r="S42" s="19"/>
      <c r="T42" s="170"/>
      <c r="U42" s="170"/>
      <c r="V42" s="170"/>
      <c r="W42" s="170"/>
      <c r="X42" s="170"/>
      <c r="Y42" s="170"/>
      <c r="Z42" s="170"/>
      <c r="AA42" s="19"/>
      <c r="AB42" s="215">
        <f t="shared" si="13"/>
        <v>0</v>
      </c>
      <c r="AC42" s="11">
        <f t="shared" si="15"/>
        <v>0</v>
      </c>
      <c r="AD42" s="12" t="e">
        <f t="shared" si="16"/>
        <v>#DIV/0!</v>
      </c>
      <c r="AG42" s="218"/>
    </row>
    <row r="43" spans="1:33" x14ac:dyDescent="0.4">
      <c r="A43" s="62" t="s">
        <v>93</v>
      </c>
      <c r="B43" s="203" t="s">
        <v>89</v>
      </c>
      <c r="C43" s="169">
        <v>533438.94999999995</v>
      </c>
      <c r="D43" s="169">
        <v>44453.245833333334</v>
      </c>
      <c r="E43" s="204" t="s">
        <v>19</v>
      </c>
      <c r="F43" s="169">
        <v>45688.14</v>
      </c>
      <c r="G43" s="169">
        <v>35262.99</v>
      </c>
      <c r="H43" s="169">
        <v>27903.17</v>
      </c>
      <c r="I43" s="169">
        <v>27512.63</v>
      </c>
      <c r="J43" s="169">
        <v>28083.95</v>
      </c>
      <c r="K43" s="169">
        <v>28222.18</v>
      </c>
      <c r="L43" s="169">
        <v>32982.28</v>
      </c>
      <c r="M43" s="169">
        <v>27967.49</v>
      </c>
      <c r="N43" s="169">
        <v>28586.05</v>
      </c>
      <c r="O43" s="169">
        <v>29898.21</v>
      </c>
      <c r="P43" s="169">
        <v>29153.62</v>
      </c>
      <c r="Q43" s="169">
        <v>28772.09</v>
      </c>
      <c r="R43" s="169">
        <v>370032.8</v>
      </c>
      <c r="S43" s="19"/>
      <c r="T43" s="169">
        <f>SUM(T36:T42)</f>
        <v>16184.990000000002</v>
      </c>
      <c r="U43" s="169">
        <f t="shared" ref="U43:Z43" si="17">SUM(U36:U42)</f>
        <v>16139.8</v>
      </c>
      <c r="V43" s="169">
        <f t="shared" si="17"/>
        <v>16384.3</v>
      </c>
      <c r="W43" s="169">
        <f t="shared" si="17"/>
        <v>19945.32</v>
      </c>
      <c r="X43" s="169">
        <f t="shared" si="17"/>
        <v>17571.54</v>
      </c>
      <c r="Y43" s="169">
        <f t="shared" si="17"/>
        <v>18634.679999999997</v>
      </c>
      <c r="Z43" s="169">
        <f t="shared" si="17"/>
        <v>104860.63000000002</v>
      </c>
      <c r="AA43" s="64"/>
      <c r="AB43" s="169">
        <f>SUM(AB36:AB42)</f>
        <v>192673.06</v>
      </c>
      <c r="AC43" s="169">
        <f>SUM(AC36:AC42)</f>
        <v>-87812.429999999978</v>
      </c>
      <c r="AD43" s="12">
        <f t="shared" si="4"/>
        <v>-0.45575873451119725</v>
      </c>
      <c r="AG43" s="219"/>
    </row>
    <row r="44" spans="1:33" x14ac:dyDescent="0.4">
      <c r="A44" s="62"/>
      <c r="B44" s="203"/>
      <c r="C44" s="167"/>
      <c r="D44" s="167"/>
      <c r="E44" s="204" t="s">
        <v>19</v>
      </c>
      <c r="F44" s="167"/>
      <c r="G44" s="167"/>
      <c r="H44" s="167"/>
      <c r="I44" s="167"/>
      <c r="J44" s="167"/>
      <c r="K44" s="167"/>
      <c r="L44" s="167"/>
      <c r="M44" s="167"/>
      <c r="N44" s="167"/>
      <c r="O44" s="167"/>
      <c r="P44" s="167"/>
      <c r="Q44" s="167"/>
      <c r="R44" s="167"/>
      <c r="S44" s="19"/>
      <c r="T44" s="167"/>
      <c r="U44" s="167"/>
      <c r="V44" s="167"/>
      <c r="W44" s="167"/>
      <c r="X44" s="167"/>
      <c r="Y44" s="167"/>
      <c r="Z44" s="167"/>
      <c r="AA44" s="64"/>
      <c r="AB44" s="167"/>
      <c r="AC44" s="4"/>
      <c r="AD44" s="5"/>
    </row>
    <row r="45" spans="1:33" x14ac:dyDescent="0.4">
      <c r="A45" s="62"/>
      <c r="B45" s="203" t="s">
        <v>57</v>
      </c>
      <c r="C45" s="167"/>
      <c r="D45" s="167"/>
      <c r="E45" s="204" t="s">
        <v>19</v>
      </c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167"/>
      <c r="Q45" s="167"/>
      <c r="R45" s="167"/>
      <c r="S45" s="66"/>
      <c r="T45" s="167"/>
      <c r="U45" s="167"/>
      <c r="V45" s="167"/>
      <c r="W45" s="167"/>
      <c r="X45" s="167"/>
      <c r="Y45" s="167"/>
      <c r="Z45" s="167"/>
      <c r="AA45" s="64"/>
      <c r="AB45" s="167"/>
      <c r="AC45" s="4"/>
      <c r="AD45" s="5"/>
    </row>
    <row r="46" spans="1:33" x14ac:dyDescent="0.4">
      <c r="A46" s="62"/>
      <c r="B46" s="203" t="s">
        <v>90</v>
      </c>
      <c r="C46" s="167"/>
      <c r="D46" s="167"/>
      <c r="E46" s="204" t="s">
        <v>19</v>
      </c>
      <c r="F46" s="167"/>
      <c r="G46" s="167"/>
      <c r="H46" s="167"/>
      <c r="I46" s="167"/>
      <c r="J46" s="167"/>
      <c r="K46" s="167"/>
      <c r="L46" s="167"/>
      <c r="M46" s="167"/>
      <c r="N46" s="167"/>
      <c r="O46" s="167"/>
      <c r="P46" s="167"/>
      <c r="Q46" s="167"/>
      <c r="R46" s="167"/>
      <c r="S46" s="66"/>
      <c r="T46" s="167"/>
      <c r="U46" s="167"/>
      <c r="V46" s="167"/>
      <c r="W46" s="167"/>
      <c r="X46" s="167"/>
      <c r="Y46" s="167"/>
      <c r="Z46" s="167"/>
      <c r="AA46" s="18"/>
      <c r="AB46" s="167"/>
      <c r="AC46" s="4"/>
      <c r="AD46" s="5"/>
    </row>
    <row r="47" spans="1:33" x14ac:dyDescent="0.4">
      <c r="A47" s="62" t="s">
        <v>97</v>
      </c>
      <c r="B47" s="203" t="s">
        <v>92</v>
      </c>
      <c r="C47" s="169">
        <v>227.51</v>
      </c>
      <c r="D47" s="169">
        <v>18.9591666666667</v>
      </c>
      <c r="E47" s="204" t="s">
        <v>19</v>
      </c>
      <c r="F47" s="169">
        <v>1588.73</v>
      </c>
      <c r="G47" s="169">
        <v>1399.44</v>
      </c>
      <c r="H47" s="169">
        <v>1846.39</v>
      </c>
      <c r="I47" s="169">
        <v>28.14</v>
      </c>
      <c r="J47" s="169">
        <v>454.37</v>
      </c>
      <c r="K47" s="169">
        <v>300</v>
      </c>
      <c r="L47" s="169">
        <v>328.84</v>
      </c>
      <c r="M47" s="169">
        <v>3.1</v>
      </c>
      <c r="N47" s="169">
        <v>1246.1199999999999</v>
      </c>
      <c r="O47" s="169">
        <v>0.2</v>
      </c>
      <c r="P47" s="169">
        <v>1175</v>
      </c>
      <c r="Q47" s="169">
        <v>831.12</v>
      </c>
      <c r="R47" s="169">
        <v>9201.4500000000007</v>
      </c>
      <c r="S47" s="19"/>
      <c r="T47" s="167"/>
      <c r="U47" s="168">
        <v>1.75</v>
      </c>
      <c r="V47" s="168">
        <v>1633.15</v>
      </c>
      <c r="W47" s="168">
        <v>594.89</v>
      </c>
      <c r="X47" s="168">
        <v>933.75</v>
      </c>
      <c r="Y47" s="168">
        <v>2272.62</v>
      </c>
      <c r="Z47" s="168">
        <v>5436.16</v>
      </c>
      <c r="AA47" s="66"/>
      <c r="AB47" s="215">
        <f>SUM(F47:K47)</f>
        <v>5617.0700000000006</v>
      </c>
      <c r="AC47" s="11">
        <f>+Z47-AB47</f>
        <v>-180.91000000000076</v>
      </c>
      <c r="AD47" s="5">
        <f t="shared" si="4"/>
        <v>-3.220718274830129E-2</v>
      </c>
    </row>
    <row r="48" spans="1:33" x14ac:dyDescent="0.4">
      <c r="A48" s="62" t="s">
        <v>99</v>
      </c>
      <c r="B48" s="203" t="s">
        <v>95</v>
      </c>
      <c r="C48" s="169">
        <v>227.51</v>
      </c>
      <c r="D48" s="169">
        <v>18.9591666666667</v>
      </c>
      <c r="E48" s="204" t="s">
        <v>19</v>
      </c>
      <c r="F48" s="169">
        <v>1588.73</v>
      </c>
      <c r="G48" s="169">
        <v>1399.44</v>
      </c>
      <c r="H48" s="169">
        <v>1846.39</v>
      </c>
      <c r="I48" s="169">
        <v>28.14</v>
      </c>
      <c r="J48" s="169">
        <v>454.37</v>
      </c>
      <c r="K48" s="169">
        <v>300</v>
      </c>
      <c r="L48" s="169">
        <v>328.84</v>
      </c>
      <c r="M48" s="169">
        <v>3.1</v>
      </c>
      <c r="N48" s="169">
        <v>1246.1199999999999</v>
      </c>
      <c r="O48" s="169">
        <v>0.2</v>
      </c>
      <c r="P48" s="169">
        <v>1175</v>
      </c>
      <c r="Q48" s="169">
        <v>831.12</v>
      </c>
      <c r="R48" s="169">
        <v>9201.4500000000007</v>
      </c>
      <c r="S48" s="19"/>
      <c r="T48" s="169"/>
      <c r="U48" s="169">
        <v>1.75</v>
      </c>
      <c r="V48" s="169">
        <v>1633.15</v>
      </c>
      <c r="W48" s="169">
        <v>594.89</v>
      </c>
      <c r="X48" s="169">
        <v>933.75</v>
      </c>
      <c r="Y48" s="169">
        <v>2272.62</v>
      </c>
      <c r="Z48" s="169">
        <v>5436.16</v>
      </c>
      <c r="AA48" s="19"/>
      <c r="AB48" s="169">
        <f>SUM(AB47)</f>
        <v>5617.0700000000006</v>
      </c>
      <c r="AC48" s="169">
        <f>SUM(AC47)</f>
        <v>-180.91000000000076</v>
      </c>
      <c r="AD48" s="10">
        <f t="shared" si="4"/>
        <v>-3.220718274830129E-2</v>
      </c>
    </row>
    <row r="49" spans="1:30" x14ac:dyDescent="0.4">
      <c r="A49" s="62"/>
      <c r="B49" s="203"/>
      <c r="C49" s="167"/>
      <c r="D49" s="167"/>
      <c r="E49" s="204" t="s">
        <v>19</v>
      </c>
      <c r="F49" s="167"/>
      <c r="G49" s="167"/>
      <c r="H49" s="167"/>
      <c r="I49" s="167"/>
      <c r="J49" s="167"/>
      <c r="K49" s="167"/>
      <c r="L49" s="167"/>
      <c r="M49" s="167"/>
      <c r="N49" s="167"/>
      <c r="O49" s="167"/>
      <c r="P49" s="167"/>
      <c r="Q49" s="167"/>
      <c r="R49" s="167"/>
      <c r="S49" s="19"/>
      <c r="T49" s="167"/>
      <c r="U49" s="167"/>
      <c r="V49" s="167"/>
      <c r="W49" s="167"/>
      <c r="X49" s="167"/>
      <c r="Y49" s="167"/>
      <c r="Z49" s="167"/>
      <c r="AA49" s="64"/>
      <c r="AB49" s="167"/>
      <c r="AC49" s="4"/>
      <c r="AD49" s="5"/>
    </row>
    <row r="50" spans="1:30" x14ac:dyDescent="0.4">
      <c r="A50" s="62"/>
      <c r="B50" s="203" t="s">
        <v>96</v>
      </c>
      <c r="C50" s="167"/>
      <c r="D50" s="167"/>
      <c r="E50" s="204" t="s">
        <v>19</v>
      </c>
      <c r="F50" s="167"/>
      <c r="G50" s="167"/>
      <c r="H50" s="167"/>
      <c r="I50" s="167"/>
      <c r="J50" s="167"/>
      <c r="K50" s="167"/>
      <c r="L50" s="167"/>
      <c r="M50" s="167"/>
      <c r="N50" s="167"/>
      <c r="O50" s="167"/>
      <c r="P50" s="167"/>
      <c r="Q50" s="167"/>
      <c r="R50" s="167"/>
      <c r="S50" s="66"/>
      <c r="T50" s="167"/>
      <c r="U50" s="167"/>
      <c r="V50" s="167"/>
      <c r="W50" s="167"/>
      <c r="X50" s="167"/>
      <c r="Y50" s="167"/>
      <c r="Z50" s="167"/>
      <c r="AA50" s="64"/>
      <c r="AB50" s="167"/>
      <c r="AC50" s="4"/>
      <c r="AD50" s="5"/>
    </row>
    <row r="51" spans="1:30" x14ac:dyDescent="0.4">
      <c r="A51" s="62"/>
      <c r="B51" s="203" t="s">
        <v>98</v>
      </c>
      <c r="C51" s="168"/>
      <c r="D51" s="168"/>
      <c r="E51" s="204" t="s">
        <v>19</v>
      </c>
      <c r="F51" s="167"/>
      <c r="G51" s="167"/>
      <c r="H51" s="167"/>
      <c r="I51" s="168">
        <v>24550</v>
      </c>
      <c r="J51" s="168">
        <v>31434.12</v>
      </c>
      <c r="K51" s="168">
        <v>8462.5</v>
      </c>
      <c r="L51" s="167"/>
      <c r="M51" s="167"/>
      <c r="N51" s="168">
        <v>600</v>
      </c>
      <c r="O51" s="168">
        <v>504</v>
      </c>
      <c r="P51" s="168">
        <v>300</v>
      </c>
      <c r="Q51" s="168">
        <v>500</v>
      </c>
      <c r="R51" s="168">
        <v>66350.62</v>
      </c>
      <c r="S51" s="19"/>
      <c r="T51" s="167"/>
      <c r="U51" s="167"/>
      <c r="V51" s="168">
        <v>5500</v>
      </c>
      <c r="W51" s="167"/>
      <c r="X51" s="167"/>
      <c r="Y51" s="168">
        <v>14500</v>
      </c>
      <c r="Z51" s="168">
        <v>20000</v>
      </c>
      <c r="AA51" s="19"/>
      <c r="AB51" s="219">
        <f>SUM(F51:K51)</f>
        <v>64446.619999999995</v>
      </c>
      <c r="AC51" s="224">
        <f>+Z51-AB51</f>
        <v>-44446.619999999995</v>
      </c>
      <c r="AD51" s="8">
        <f t="shared" si="4"/>
        <v>-0.68966564887343973</v>
      </c>
    </row>
    <row r="52" spans="1:30" x14ac:dyDescent="0.4">
      <c r="A52" s="62"/>
      <c r="B52" s="203" t="s">
        <v>100</v>
      </c>
      <c r="C52" s="169">
        <v>-125</v>
      </c>
      <c r="D52" s="169">
        <v>-10.4166666666667</v>
      </c>
      <c r="E52" s="204" t="s">
        <v>19</v>
      </c>
      <c r="F52" s="169">
        <v>118</v>
      </c>
      <c r="G52" s="170"/>
      <c r="H52" s="169">
        <v>1500</v>
      </c>
      <c r="I52" s="170"/>
      <c r="J52" s="170"/>
      <c r="K52" s="170"/>
      <c r="L52" s="170"/>
      <c r="M52" s="170"/>
      <c r="N52" s="170"/>
      <c r="O52" s="170"/>
      <c r="P52" s="170"/>
      <c r="Q52" s="170"/>
      <c r="R52" s="169">
        <v>1618</v>
      </c>
      <c r="S52" s="66"/>
      <c r="T52" s="170"/>
      <c r="U52" s="170"/>
      <c r="V52" s="170"/>
      <c r="W52" s="170"/>
      <c r="X52" s="170"/>
      <c r="Y52" s="170"/>
      <c r="Z52" s="170"/>
      <c r="AA52" s="19"/>
      <c r="AB52" s="215">
        <f>SUM(F52:K52)</f>
        <v>1618</v>
      </c>
      <c r="AC52" s="11">
        <f>+Z52-AB52</f>
        <v>-1618</v>
      </c>
      <c r="AD52" s="12">
        <f t="shared" ref="AD52" si="18">+AC52/AB52</f>
        <v>-1</v>
      </c>
    </row>
    <row r="53" spans="1:30" x14ac:dyDescent="0.4">
      <c r="A53" s="62"/>
      <c r="B53" s="203" t="s">
        <v>101</v>
      </c>
      <c r="C53" s="169">
        <v>-125</v>
      </c>
      <c r="D53" s="169">
        <v>-10.4166666666667</v>
      </c>
      <c r="E53" s="204" t="s">
        <v>19</v>
      </c>
      <c r="F53" s="169">
        <v>118</v>
      </c>
      <c r="G53" s="169"/>
      <c r="H53" s="169">
        <v>1500</v>
      </c>
      <c r="I53" s="169">
        <v>24550</v>
      </c>
      <c r="J53" s="169">
        <v>31434.12</v>
      </c>
      <c r="K53" s="169">
        <v>8462.5</v>
      </c>
      <c r="L53" s="169"/>
      <c r="M53" s="169"/>
      <c r="N53" s="169">
        <v>600</v>
      </c>
      <c r="O53" s="169">
        <v>504</v>
      </c>
      <c r="P53" s="169">
        <v>300</v>
      </c>
      <c r="Q53" s="169">
        <v>500</v>
      </c>
      <c r="R53" s="169">
        <v>67968.62</v>
      </c>
      <c r="S53" s="66"/>
      <c r="T53" s="169"/>
      <c r="U53" s="169"/>
      <c r="V53" s="169">
        <v>5500</v>
      </c>
      <c r="W53" s="169"/>
      <c r="X53" s="169"/>
      <c r="Y53" s="169">
        <v>14500</v>
      </c>
      <c r="Z53" s="169">
        <v>20000</v>
      </c>
      <c r="AA53" s="64"/>
      <c r="AB53" s="169">
        <f>SUM(AB51:AB52)</f>
        <v>66064.62</v>
      </c>
      <c r="AC53" s="169">
        <f>SUM(AC51:AC52)</f>
        <v>-46064.619999999995</v>
      </c>
      <c r="AD53" s="12">
        <f t="shared" si="4"/>
        <v>-0.69726610097810293</v>
      </c>
    </row>
    <row r="54" spans="1:30" x14ac:dyDescent="0.4">
      <c r="A54" s="62" t="s">
        <v>104</v>
      </c>
      <c r="B54" s="203"/>
      <c r="C54" s="167"/>
      <c r="D54" s="167"/>
      <c r="E54" s="204" t="s">
        <v>19</v>
      </c>
      <c r="F54" s="167"/>
      <c r="G54" s="167"/>
      <c r="H54" s="167"/>
      <c r="I54" s="167"/>
      <c r="J54" s="167"/>
      <c r="K54" s="167"/>
      <c r="L54" s="167"/>
      <c r="M54" s="167"/>
      <c r="N54" s="167"/>
      <c r="O54" s="167"/>
      <c r="P54" s="167"/>
      <c r="Q54" s="167"/>
      <c r="R54" s="167"/>
      <c r="S54" s="19"/>
      <c r="T54" s="167"/>
      <c r="U54" s="167"/>
      <c r="V54" s="167"/>
      <c r="W54" s="167"/>
      <c r="X54" s="167"/>
      <c r="Y54" s="167"/>
      <c r="Z54" s="167"/>
      <c r="AA54" s="19"/>
      <c r="AB54" s="167"/>
      <c r="AC54" s="4"/>
      <c r="AD54" s="5"/>
    </row>
    <row r="55" spans="1:30" x14ac:dyDescent="0.4">
      <c r="A55" s="62" t="s">
        <v>106</v>
      </c>
      <c r="B55" s="203" t="s">
        <v>102</v>
      </c>
      <c r="C55" s="169">
        <v>102.51</v>
      </c>
      <c r="D55" s="169">
        <v>8.5425000000000004</v>
      </c>
      <c r="E55" s="204" t="s">
        <v>19</v>
      </c>
      <c r="F55" s="169">
        <v>1706.73</v>
      </c>
      <c r="G55" s="169">
        <v>1399.44</v>
      </c>
      <c r="H55" s="169">
        <v>3346.39</v>
      </c>
      <c r="I55" s="169">
        <v>24578.14</v>
      </c>
      <c r="J55" s="169">
        <v>31888.49</v>
      </c>
      <c r="K55" s="169">
        <v>8762.5</v>
      </c>
      <c r="L55" s="169">
        <v>328.84</v>
      </c>
      <c r="M55" s="169">
        <v>3.1</v>
      </c>
      <c r="N55" s="169">
        <v>1846.12</v>
      </c>
      <c r="O55" s="169">
        <v>504.2</v>
      </c>
      <c r="P55" s="169">
        <v>1475</v>
      </c>
      <c r="Q55" s="169">
        <v>1331.12</v>
      </c>
      <c r="R55" s="169">
        <v>77170.070000000007</v>
      </c>
      <c r="S55" s="19"/>
      <c r="T55" s="169"/>
      <c r="U55" s="169">
        <v>1.75</v>
      </c>
      <c r="V55" s="169">
        <v>7133.15</v>
      </c>
      <c r="W55" s="169">
        <v>594.89</v>
      </c>
      <c r="X55" s="169">
        <v>933.75</v>
      </c>
      <c r="Y55" s="169">
        <v>16772.62</v>
      </c>
      <c r="Z55" s="169">
        <v>25436.16</v>
      </c>
      <c r="AA55" s="64"/>
      <c r="AB55" s="169">
        <f>SUM(F55:K55)</f>
        <v>71681.69</v>
      </c>
      <c r="AC55" s="11">
        <f>+Z55-AB55</f>
        <v>-46245.53</v>
      </c>
      <c r="AD55" s="12">
        <f t="shared" si="4"/>
        <v>-0.64515122341563091</v>
      </c>
    </row>
    <row r="56" spans="1:30" x14ac:dyDescent="0.4">
      <c r="A56" s="62" t="s">
        <v>108</v>
      </c>
      <c r="B56" s="203"/>
      <c r="C56" s="167"/>
      <c r="D56" s="167"/>
      <c r="E56" s="204" t="s">
        <v>19</v>
      </c>
      <c r="F56" s="167"/>
      <c r="G56" s="167"/>
      <c r="H56" s="167"/>
      <c r="I56" s="167"/>
      <c r="J56" s="167"/>
      <c r="K56" s="167"/>
      <c r="L56" s="167"/>
      <c r="M56" s="167"/>
      <c r="N56" s="167"/>
      <c r="O56" s="167"/>
      <c r="P56" s="167"/>
      <c r="Q56" s="167"/>
      <c r="R56" s="167"/>
      <c r="S56" s="19"/>
      <c r="T56" s="167"/>
      <c r="U56" s="167"/>
      <c r="V56" s="167"/>
      <c r="W56" s="167"/>
      <c r="X56" s="167"/>
      <c r="Y56" s="167"/>
      <c r="Z56" s="167"/>
      <c r="AA56" s="64"/>
      <c r="AB56" s="167"/>
      <c r="AC56" s="4"/>
      <c r="AD56" s="5"/>
    </row>
    <row r="57" spans="1:30" x14ac:dyDescent="0.4">
      <c r="A57" s="62" t="s">
        <v>110</v>
      </c>
      <c r="B57" s="203" t="s">
        <v>103</v>
      </c>
      <c r="C57" s="167"/>
      <c r="D57" s="167"/>
      <c r="E57" s="204" t="s">
        <v>19</v>
      </c>
      <c r="F57" s="167"/>
      <c r="G57" s="167"/>
      <c r="H57" s="167"/>
      <c r="I57" s="167"/>
      <c r="J57" s="167"/>
      <c r="K57" s="167"/>
      <c r="L57" s="167"/>
      <c r="M57" s="167"/>
      <c r="N57" s="167"/>
      <c r="O57" s="167"/>
      <c r="P57" s="167"/>
      <c r="Q57" s="167"/>
      <c r="R57" s="167"/>
      <c r="S57" s="19"/>
      <c r="T57" s="167"/>
      <c r="U57" s="167"/>
      <c r="V57" s="167"/>
      <c r="W57" s="167"/>
      <c r="X57" s="167"/>
      <c r="Y57" s="167"/>
      <c r="Z57" s="167"/>
      <c r="AA57" s="18"/>
      <c r="AB57" s="167"/>
      <c r="AC57" s="4"/>
      <c r="AD57" s="5"/>
    </row>
    <row r="58" spans="1:30" x14ac:dyDescent="0.4">
      <c r="A58" s="62" t="s">
        <v>114</v>
      </c>
      <c r="B58" s="203" t="s">
        <v>105</v>
      </c>
      <c r="C58" s="168">
        <v>18738.97</v>
      </c>
      <c r="D58" s="168">
        <v>1561.5808333333332</v>
      </c>
      <c r="E58" s="204" t="s">
        <v>19</v>
      </c>
      <c r="F58" s="168">
        <v>-1715.72</v>
      </c>
      <c r="G58" s="168">
        <v>374.03</v>
      </c>
      <c r="H58" s="168">
        <v>354.05</v>
      </c>
      <c r="I58" s="168">
        <v>353.25</v>
      </c>
      <c r="J58" s="168">
        <v>354.08</v>
      </c>
      <c r="K58" s="168">
        <v>354.08</v>
      </c>
      <c r="L58" s="168">
        <v>354.19</v>
      </c>
      <c r="M58" s="168">
        <v>353.66</v>
      </c>
      <c r="N58" s="168">
        <v>317.39999999999998</v>
      </c>
      <c r="O58" s="168">
        <v>352.6</v>
      </c>
      <c r="P58" s="168">
        <v>404.96</v>
      </c>
      <c r="Q58" s="168">
        <v>317.83999999999997</v>
      </c>
      <c r="R58" s="168">
        <v>2174.42</v>
      </c>
      <c r="S58" s="19"/>
      <c r="T58" s="168">
        <v>317.89</v>
      </c>
      <c r="U58" s="168">
        <v>318</v>
      </c>
      <c r="V58" s="168">
        <v>318</v>
      </c>
      <c r="W58" s="168">
        <v>318.12</v>
      </c>
      <c r="X58" s="168">
        <v>318.26</v>
      </c>
      <c r="Y58" s="168">
        <v>365.66</v>
      </c>
      <c r="Z58" s="168">
        <v>1955.93</v>
      </c>
      <c r="AA58" s="64"/>
      <c r="AB58" s="219">
        <f t="shared" ref="AB58:AB79" si="19">SUM(F58:K58)</f>
        <v>73.769999999999868</v>
      </c>
      <c r="AC58" s="224">
        <f>+Z58-AB58</f>
        <v>1882.1600000000003</v>
      </c>
      <c r="AD58" s="8">
        <f t="shared" si="4"/>
        <v>25.513894537074741</v>
      </c>
    </row>
    <row r="59" spans="1:30" x14ac:dyDescent="0.4">
      <c r="A59" s="62" t="s">
        <v>116</v>
      </c>
      <c r="B59" s="203" t="s">
        <v>107</v>
      </c>
      <c r="C59" s="168">
        <v>169</v>
      </c>
      <c r="D59" s="168">
        <v>14.0833333333333</v>
      </c>
      <c r="E59" s="204" t="s">
        <v>19</v>
      </c>
      <c r="F59" s="167"/>
      <c r="G59" s="167"/>
      <c r="H59" s="167"/>
      <c r="I59" s="167"/>
      <c r="J59" s="167"/>
      <c r="K59" s="167"/>
      <c r="L59" s="167"/>
      <c r="M59" s="167"/>
      <c r="N59" s="167"/>
      <c r="O59" s="167"/>
      <c r="P59" s="167"/>
      <c r="Q59" s="167"/>
      <c r="R59" s="167"/>
      <c r="S59" s="19"/>
      <c r="T59" s="167"/>
      <c r="U59" s="167"/>
      <c r="V59" s="167"/>
      <c r="W59" s="167"/>
      <c r="X59" s="167"/>
      <c r="Y59" s="167"/>
      <c r="Z59" s="167"/>
      <c r="AA59" s="18"/>
      <c r="AB59" s="219">
        <f t="shared" si="19"/>
        <v>0</v>
      </c>
      <c r="AC59" s="224">
        <f t="shared" ref="AC59:AC79" si="20">+Z59-AB59</f>
        <v>0</v>
      </c>
      <c r="AD59" s="8" t="e">
        <f t="shared" ref="AD59:AD79" si="21">+AC59/AB59</f>
        <v>#DIV/0!</v>
      </c>
    </row>
    <row r="60" spans="1:30" x14ac:dyDescent="0.4">
      <c r="A60" s="62" t="s">
        <v>120</v>
      </c>
      <c r="B60" s="203" t="s">
        <v>109</v>
      </c>
      <c r="C60" s="168">
        <v>4122.01</v>
      </c>
      <c r="D60" s="168">
        <v>343.50083333333328</v>
      </c>
      <c r="E60" s="204" t="s">
        <v>19</v>
      </c>
      <c r="F60" s="168">
        <v>365.17</v>
      </c>
      <c r="G60" s="168">
        <v>344.15</v>
      </c>
      <c r="H60" s="168">
        <v>344.15</v>
      </c>
      <c r="I60" s="168">
        <v>344.15</v>
      </c>
      <c r="J60" s="167"/>
      <c r="K60" s="168">
        <v>-1254.75</v>
      </c>
      <c r="L60" s="167"/>
      <c r="M60" s="167"/>
      <c r="N60" s="167"/>
      <c r="O60" s="167"/>
      <c r="P60" s="167"/>
      <c r="Q60" s="167"/>
      <c r="R60" s="168">
        <v>142.87</v>
      </c>
      <c r="S60" s="19"/>
      <c r="T60" s="167"/>
      <c r="U60" s="167"/>
      <c r="V60" s="167"/>
      <c r="W60" s="167"/>
      <c r="X60" s="167"/>
      <c r="Y60" s="167"/>
      <c r="Z60" s="167"/>
      <c r="AA60" s="18"/>
      <c r="AB60" s="219">
        <f t="shared" si="19"/>
        <v>142.86999999999989</v>
      </c>
      <c r="AC60" s="224">
        <f t="shared" si="20"/>
        <v>-142.86999999999989</v>
      </c>
      <c r="AD60" s="8">
        <f t="shared" si="21"/>
        <v>-1</v>
      </c>
    </row>
    <row r="61" spans="1:30" x14ac:dyDescent="0.4">
      <c r="A61" s="62" t="s">
        <v>122</v>
      </c>
      <c r="B61" s="203" t="s">
        <v>111</v>
      </c>
      <c r="C61" s="168">
        <v>4427</v>
      </c>
      <c r="D61" s="168">
        <v>368.91666666666669</v>
      </c>
      <c r="E61" s="204" t="s">
        <v>19</v>
      </c>
      <c r="F61" s="167"/>
      <c r="G61" s="167"/>
      <c r="H61" s="167"/>
      <c r="I61" s="167"/>
      <c r="J61" s="168">
        <v>115.75</v>
      </c>
      <c r="K61" s="168">
        <v>223.15</v>
      </c>
      <c r="L61" s="167"/>
      <c r="M61" s="167"/>
      <c r="N61" s="167"/>
      <c r="O61" s="167"/>
      <c r="P61" s="167"/>
      <c r="Q61" s="167"/>
      <c r="R61" s="168">
        <v>338.9</v>
      </c>
      <c r="S61" s="19"/>
      <c r="T61" s="167"/>
      <c r="U61" s="167"/>
      <c r="V61" s="167"/>
      <c r="W61" s="167"/>
      <c r="X61" s="167"/>
      <c r="Y61" s="167"/>
      <c r="Z61" s="167"/>
      <c r="AA61" s="18"/>
      <c r="AB61" s="219">
        <f t="shared" si="19"/>
        <v>338.9</v>
      </c>
      <c r="AC61" s="224">
        <f t="shared" si="20"/>
        <v>-338.9</v>
      </c>
      <c r="AD61" s="8">
        <f t="shared" si="21"/>
        <v>-1</v>
      </c>
    </row>
    <row r="62" spans="1:30" x14ac:dyDescent="0.4">
      <c r="A62" s="62" t="s">
        <v>124</v>
      </c>
      <c r="B62" s="203" t="s">
        <v>115</v>
      </c>
      <c r="C62" s="168">
        <v>155807.01</v>
      </c>
      <c r="D62" s="168">
        <v>12983.9175</v>
      </c>
      <c r="E62" s="204" t="s">
        <v>19</v>
      </c>
      <c r="F62" s="168">
        <v>2153.66</v>
      </c>
      <c r="G62" s="168">
        <v>4615</v>
      </c>
      <c r="H62" s="168">
        <v>3799</v>
      </c>
      <c r="I62" s="168">
        <v>1300</v>
      </c>
      <c r="J62" s="168">
        <v>2800</v>
      </c>
      <c r="K62" s="168">
        <v>1890</v>
      </c>
      <c r="L62" s="168">
        <v>2800</v>
      </c>
      <c r="M62" s="168">
        <v>6730</v>
      </c>
      <c r="N62" s="168">
        <v>16303.43</v>
      </c>
      <c r="O62" s="168">
        <v>5602.5</v>
      </c>
      <c r="P62" s="168">
        <v>18090</v>
      </c>
      <c r="Q62" s="168">
        <v>2980</v>
      </c>
      <c r="R62" s="168">
        <v>69063.59</v>
      </c>
      <c r="S62" s="19"/>
      <c r="T62" s="168">
        <f>3375-1200</f>
        <v>2175</v>
      </c>
      <c r="U62" s="168">
        <f>3950-575</f>
        <v>3375</v>
      </c>
      <c r="V62" s="168">
        <f>3690-1330</f>
        <v>2360</v>
      </c>
      <c r="W62" s="168">
        <f>1300-216.67</f>
        <v>1083.33</v>
      </c>
      <c r="X62" s="168">
        <v>0</v>
      </c>
      <c r="Y62" s="168">
        <f>3583.33-2487.5-439.61</f>
        <v>656.21999999999991</v>
      </c>
      <c r="Z62" s="168">
        <f>SUM(T62:Y62)</f>
        <v>9649.5499999999993</v>
      </c>
      <c r="AA62" s="18"/>
      <c r="AB62" s="219">
        <f t="shared" si="19"/>
        <v>16557.66</v>
      </c>
      <c r="AC62" s="224">
        <f t="shared" si="20"/>
        <v>-6908.1100000000006</v>
      </c>
      <c r="AD62" s="8">
        <f t="shared" si="21"/>
        <v>-0.4172153553098687</v>
      </c>
    </row>
    <row r="63" spans="1:30" x14ac:dyDescent="0.4">
      <c r="A63" s="62" t="s">
        <v>126</v>
      </c>
      <c r="B63" s="203" t="s">
        <v>117</v>
      </c>
      <c r="C63" s="168">
        <v>344596.38</v>
      </c>
      <c r="D63" s="168">
        <v>28716.365000000002</v>
      </c>
      <c r="E63" s="204" t="s">
        <v>19</v>
      </c>
      <c r="F63" s="168">
        <v>104009.24</v>
      </c>
      <c r="G63" s="168">
        <v>34300.129999999997</v>
      </c>
      <c r="H63" s="168">
        <v>7850</v>
      </c>
      <c r="I63" s="168">
        <v>18221.66</v>
      </c>
      <c r="J63" s="168">
        <v>57227.97</v>
      </c>
      <c r="K63" s="168">
        <v>27664.3</v>
      </c>
      <c r="L63" s="168">
        <v>44383.32</v>
      </c>
      <c r="M63" s="168">
        <v>12557.1</v>
      </c>
      <c r="N63" s="168">
        <v>10143</v>
      </c>
      <c r="O63" s="168">
        <v>1394.77</v>
      </c>
      <c r="P63" s="168">
        <v>14555</v>
      </c>
      <c r="Q63" s="168">
        <v>6125</v>
      </c>
      <c r="R63" s="168">
        <v>338431.49</v>
      </c>
      <c r="S63" s="19"/>
      <c r="T63" s="168">
        <v>5725</v>
      </c>
      <c r="U63" s="168">
        <v>15275</v>
      </c>
      <c r="V63" s="168">
        <f>10725-485-875</f>
        <v>9365</v>
      </c>
      <c r="W63" s="168">
        <f>12945.2-365.11-875</f>
        <v>11705.09</v>
      </c>
      <c r="X63" s="168">
        <f>6892.36-4345.83</f>
        <v>2546.5299999999997</v>
      </c>
      <c r="Y63" s="168">
        <f>27741.41-2171.46</f>
        <v>25569.95</v>
      </c>
      <c r="Z63" s="168">
        <f t="shared" ref="Z63:Z75" si="22">SUM(T63:Y63)</f>
        <v>70186.569999999992</v>
      </c>
      <c r="AA63" s="18"/>
      <c r="AB63" s="219">
        <f t="shared" si="19"/>
        <v>249273.3</v>
      </c>
      <c r="AC63" s="224">
        <f t="shared" si="20"/>
        <v>-179086.72999999998</v>
      </c>
      <c r="AD63" s="8">
        <f t="shared" si="21"/>
        <v>-0.71843526763596421</v>
      </c>
    </row>
    <row r="64" spans="1:30" x14ac:dyDescent="0.4">
      <c r="A64" s="62" t="s">
        <v>128</v>
      </c>
      <c r="B64" s="203" t="s">
        <v>121</v>
      </c>
      <c r="C64" s="168">
        <v>321933.7</v>
      </c>
      <c r="D64" s="168">
        <v>26827.808333333334</v>
      </c>
      <c r="E64" s="204" t="s">
        <v>19</v>
      </c>
      <c r="F64" s="168">
        <v>27500</v>
      </c>
      <c r="G64" s="168">
        <v>27500</v>
      </c>
      <c r="H64" s="168">
        <v>27500</v>
      </c>
      <c r="I64" s="168">
        <v>27500</v>
      </c>
      <c r="J64" s="168">
        <v>27500</v>
      </c>
      <c r="K64" s="168">
        <v>27500</v>
      </c>
      <c r="L64" s="168">
        <v>27500</v>
      </c>
      <c r="M64" s="168">
        <v>27500</v>
      </c>
      <c r="N64" s="168">
        <v>27500</v>
      </c>
      <c r="O64" s="168">
        <v>27500</v>
      </c>
      <c r="P64" s="168">
        <v>27500</v>
      </c>
      <c r="Q64" s="168">
        <v>27500</v>
      </c>
      <c r="R64" s="168">
        <v>330000</v>
      </c>
      <c r="S64" s="19"/>
      <c r="T64" s="168">
        <v>27500</v>
      </c>
      <c r="U64" s="168">
        <v>27500</v>
      </c>
      <c r="V64" s="168">
        <v>27500</v>
      </c>
      <c r="W64" s="168">
        <v>27500</v>
      </c>
      <c r="X64" s="168">
        <v>27500</v>
      </c>
      <c r="Y64" s="168">
        <v>27500</v>
      </c>
      <c r="Z64" s="168">
        <f t="shared" si="22"/>
        <v>165000</v>
      </c>
      <c r="AA64" s="18"/>
      <c r="AB64" s="219">
        <f t="shared" si="19"/>
        <v>165000</v>
      </c>
      <c r="AC64" s="224">
        <f t="shared" si="20"/>
        <v>0</v>
      </c>
      <c r="AD64" s="8">
        <f t="shared" si="21"/>
        <v>0</v>
      </c>
    </row>
    <row r="65" spans="1:30" x14ac:dyDescent="0.4">
      <c r="A65" s="62" t="s">
        <v>130</v>
      </c>
      <c r="B65" s="203" t="s">
        <v>123</v>
      </c>
      <c r="C65" s="168">
        <v>119790</v>
      </c>
      <c r="D65" s="168">
        <v>9982.5</v>
      </c>
      <c r="E65" s="204" t="s">
        <v>19</v>
      </c>
      <c r="F65" s="167"/>
      <c r="G65" s="167"/>
      <c r="H65" s="167"/>
      <c r="I65" s="167"/>
      <c r="J65" s="167"/>
      <c r="K65" s="167"/>
      <c r="L65" s="168">
        <v>11050</v>
      </c>
      <c r="M65" s="168">
        <v>-4500</v>
      </c>
      <c r="N65" s="167"/>
      <c r="O65" s="167"/>
      <c r="P65" s="168">
        <v>7460</v>
      </c>
      <c r="Q65" s="167"/>
      <c r="R65" s="168">
        <v>14010</v>
      </c>
      <c r="S65" s="19"/>
      <c r="T65" s="167"/>
      <c r="U65" s="167"/>
      <c r="V65" s="167"/>
      <c r="W65" s="167"/>
      <c r="X65" s="168">
        <v>4665</v>
      </c>
      <c r="Y65" s="167"/>
      <c r="Z65" s="168">
        <f t="shared" si="22"/>
        <v>4665</v>
      </c>
      <c r="AA65" s="18"/>
      <c r="AB65" s="219">
        <f t="shared" si="19"/>
        <v>0</v>
      </c>
      <c r="AC65" s="224">
        <f t="shared" si="20"/>
        <v>4665</v>
      </c>
      <c r="AD65" s="8" t="e">
        <f t="shared" si="21"/>
        <v>#DIV/0!</v>
      </c>
    </row>
    <row r="66" spans="1:30" x14ac:dyDescent="0.4">
      <c r="A66" s="62" t="s">
        <v>132</v>
      </c>
      <c r="B66" s="203" t="s">
        <v>125</v>
      </c>
      <c r="C66" s="168">
        <v>3436.11</v>
      </c>
      <c r="D66" s="168">
        <v>286.34249999999997</v>
      </c>
      <c r="E66" s="204" t="s">
        <v>19</v>
      </c>
      <c r="F66" s="168">
        <v>231.15</v>
      </c>
      <c r="G66" s="168">
        <v>324.14999999999998</v>
      </c>
      <c r="H66" s="168">
        <v>182.8</v>
      </c>
      <c r="I66" s="168">
        <v>1640.02</v>
      </c>
      <c r="J66" s="168">
        <v>2244.1</v>
      </c>
      <c r="K66" s="168">
        <v>232.5</v>
      </c>
      <c r="L66" s="168">
        <v>142.5</v>
      </c>
      <c r="M66" s="168">
        <v>142.5</v>
      </c>
      <c r="N66" s="168">
        <v>162.5</v>
      </c>
      <c r="O66" s="168">
        <v>142.49</v>
      </c>
      <c r="P66" s="168">
        <v>1153.5</v>
      </c>
      <c r="Q66" s="168">
        <v>142.5</v>
      </c>
      <c r="R66" s="168">
        <v>6740.71</v>
      </c>
      <c r="S66" s="19"/>
      <c r="T66" s="168">
        <v>142.5</v>
      </c>
      <c r="U66" s="168">
        <v>215.66</v>
      </c>
      <c r="V66" s="168">
        <v>-14.67</v>
      </c>
      <c r="W66" s="168">
        <v>320.22000000000003</v>
      </c>
      <c r="X66" s="168">
        <v>255.9</v>
      </c>
      <c r="Y66" s="168">
        <v>225.5</v>
      </c>
      <c r="Z66" s="168">
        <f t="shared" si="22"/>
        <v>1145.1100000000001</v>
      </c>
      <c r="AA66" s="18"/>
      <c r="AB66" s="219">
        <f t="shared" si="19"/>
        <v>4854.7199999999993</v>
      </c>
      <c r="AC66" s="224">
        <f t="shared" si="20"/>
        <v>-3709.6099999999992</v>
      </c>
      <c r="AD66" s="8">
        <f t="shared" si="21"/>
        <v>-0.76412439852349867</v>
      </c>
    </row>
    <row r="67" spans="1:30" x14ac:dyDescent="0.4">
      <c r="A67" s="62" t="s">
        <v>134</v>
      </c>
      <c r="B67" s="203" t="s">
        <v>127</v>
      </c>
      <c r="C67" s="168">
        <v>179335.72</v>
      </c>
      <c r="D67" s="168">
        <v>14944.643333333333</v>
      </c>
      <c r="E67" s="204" t="s">
        <v>19</v>
      </c>
      <c r="F67" s="168">
        <v>39787.32</v>
      </c>
      <c r="G67" s="168">
        <v>14384.7</v>
      </c>
      <c r="H67" s="168">
        <v>6445.8</v>
      </c>
      <c r="I67" s="168">
        <v>14665.92</v>
      </c>
      <c r="J67" s="168">
        <v>17133.61</v>
      </c>
      <c r="K67" s="168">
        <v>11489.43</v>
      </c>
      <c r="L67" s="168">
        <v>14665.92</v>
      </c>
      <c r="M67" s="168">
        <v>14965.77</v>
      </c>
      <c r="N67" s="168">
        <v>13113.23</v>
      </c>
      <c r="O67" s="168">
        <v>11653.53</v>
      </c>
      <c r="P67" s="168">
        <v>-7.5</v>
      </c>
      <c r="Q67" s="168">
        <v>16628.72</v>
      </c>
      <c r="R67" s="168">
        <v>174926.45</v>
      </c>
      <c r="S67" s="19"/>
      <c r="T67" s="168">
        <v>12255.98</v>
      </c>
      <c r="U67" s="168">
        <v>29022.03</v>
      </c>
      <c r="V67" s="168">
        <v>12317.21</v>
      </c>
      <c r="W67" s="168">
        <v>19474.12</v>
      </c>
      <c r="X67" s="168">
        <v>11018.74</v>
      </c>
      <c r="Y67" s="168">
        <v>15099.93</v>
      </c>
      <c r="Z67" s="168">
        <f t="shared" si="22"/>
        <v>99188.010000000009</v>
      </c>
      <c r="AA67" s="18"/>
      <c r="AB67" s="219">
        <f t="shared" si="19"/>
        <v>103906.78</v>
      </c>
      <c r="AC67" s="224">
        <f t="shared" si="20"/>
        <v>-4718.7699999999895</v>
      </c>
      <c r="AD67" s="8">
        <f t="shared" si="21"/>
        <v>-4.5413494672821055E-2</v>
      </c>
    </row>
    <row r="68" spans="1:30" x14ac:dyDescent="0.4">
      <c r="A68" s="62" t="s">
        <v>136</v>
      </c>
      <c r="B68" s="203" t="s">
        <v>129</v>
      </c>
      <c r="C68" s="168">
        <v>307262.52</v>
      </c>
      <c r="D68" s="168">
        <v>25605.21</v>
      </c>
      <c r="E68" s="204" t="s">
        <v>19</v>
      </c>
      <c r="F68" s="168">
        <v>2599.64</v>
      </c>
      <c r="G68" s="168">
        <v>2635.54</v>
      </c>
      <c r="H68" s="168">
        <v>63530.51</v>
      </c>
      <c r="I68" s="168">
        <v>2525.29</v>
      </c>
      <c r="J68" s="168">
        <v>2559.4499999999998</v>
      </c>
      <c r="K68" s="168">
        <v>64769.65</v>
      </c>
      <c r="L68" s="168">
        <v>7183.23</v>
      </c>
      <c r="M68" s="168">
        <v>2794.9</v>
      </c>
      <c r="N68" s="168">
        <v>52649.51</v>
      </c>
      <c r="O68" s="168">
        <v>2472.37</v>
      </c>
      <c r="P68" s="168">
        <v>49.95</v>
      </c>
      <c r="Q68" s="168">
        <v>53076.17</v>
      </c>
      <c r="R68" s="168">
        <v>256846.21</v>
      </c>
      <c r="S68" s="19"/>
      <c r="T68" s="168">
        <v>74.95</v>
      </c>
      <c r="U68" s="168">
        <v>2512.13</v>
      </c>
      <c r="V68" s="168">
        <v>53239.69</v>
      </c>
      <c r="W68" s="168">
        <v>2703.7</v>
      </c>
      <c r="X68" s="168">
        <v>98.01</v>
      </c>
      <c r="Y68" s="168">
        <v>64.900000000000006</v>
      </c>
      <c r="Z68" s="168">
        <f t="shared" si="22"/>
        <v>58693.380000000005</v>
      </c>
      <c r="AA68" s="64"/>
      <c r="AB68" s="219">
        <f t="shared" si="19"/>
        <v>138620.07999999999</v>
      </c>
      <c r="AC68" s="224">
        <f t="shared" si="20"/>
        <v>-79926.699999999983</v>
      </c>
      <c r="AD68" s="8">
        <f t="shared" si="21"/>
        <v>-0.57658818260673339</v>
      </c>
    </row>
    <row r="69" spans="1:30" x14ac:dyDescent="0.4">
      <c r="A69" s="62" t="s">
        <v>138</v>
      </c>
      <c r="B69" s="203" t="s">
        <v>131</v>
      </c>
      <c r="C69" s="168">
        <v>8614</v>
      </c>
      <c r="D69" s="168">
        <v>717.83333333333326</v>
      </c>
      <c r="E69" s="204" t="s">
        <v>19</v>
      </c>
      <c r="F69" s="167"/>
      <c r="G69" s="167"/>
      <c r="H69" s="167"/>
      <c r="I69" s="167"/>
      <c r="J69" s="167"/>
      <c r="K69" s="167"/>
      <c r="L69" s="167"/>
      <c r="M69" s="167"/>
      <c r="N69" s="167"/>
      <c r="O69" s="167"/>
      <c r="P69" s="167"/>
      <c r="Q69" s="167"/>
      <c r="R69" s="167"/>
      <c r="S69" s="19"/>
      <c r="T69" s="167"/>
      <c r="U69" s="167"/>
      <c r="V69" s="168">
        <v>4064</v>
      </c>
      <c r="W69" s="167"/>
      <c r="X69" s="167"/>
      <c r="Y69" s="167"/>
      <c r="Z69" s="168">
        <f t="shared" si="22"/>
        <v>4064</v>
      </c>
      <c r="AA69" s="18"/>
      <c r="AB69" s="219">
        <f t="shared" si="19"/>
        <v>0</v>
      </c>
      <c r="AC69" s="224">
        <f t="shared" si="20"/>
        <v>4064</v>
      </c>
      <c r="AD69" s="8" t="e">
        <f t="shared" si="21"/>
        <v>#DIV/0!</v>
      </c>
    </row>
    <row r="70" spans="1:30" x14ac:dyDescent="0.4">
      <c r="A70" s="62" t="s">
        <v>140</v>
      </c>
      <c r="B70" s="203" t="s">
        <v>133</v>
      </c>
      <c r="C70" s="168">
        <v>66063.41</v>
      </c>
      <c r="D70" s="168">
        <v>5505.2841666666664</v>
      </c>
      <c r="E70" s="204" t="s">
        <v>19</v>
      </c>
      <c r="F70" s="168">
        <v>5086.05</v>
      </c>
      <c r="G70" s="168">
        <v>2899.6</v>
      </c>
      <c r="H70" s="168">
        <v>115</v>
      </c>
      <c r="I70" s="167"/>
      <c r="J70" s="168">
        <v>194.05</v>
      </c>
      <c r="K70" s="168">
        <v>201.96</v>
      </c>
      <c r="L70" s="167"/>
      <c r="M70" s="167"/>
      <c r="N70" s="167"/>
      <c r="O70" s="167"/>
      <c r="P70" s="168">
        <v>6766.39</v>
      </c>
      <c r="Q70" s="167"/>
      <c r="R70" s="168">
        <v>15263.05</v>
      </c>
      <c r="S70" s="19"/>
      <c r="T70" s="167"/>
      <c r="U70" s="167"/>
      <c r="V70" s="167"/>
      <c r="W70" s="167"/>
      <c r="X70" s="167"/>
      <c r="Y70" s="167"/>
      <c r="Z70" s="168">
        <f t="shared" si="22"/>
        <v>0</v>
      </c>
      <c r="AA70" s="18"/>
      <c r="AB70" s="219">
        <f t="shared" si="19"/>
        <v>8496.659999999998</v>
      </c>
      <c r="AC70" s="224">
        <f t="shared" si="20"/>
        <v>-8496.659999999998</v>
      </c>
      <c r="AD70" s="8">
        <f t="shared" si="21"/>
        <v>-1</v>
      </c>
    </row>
    <row r="71" spans="1:30" x14ac:dyDescent="0.4">
      <c r="A71" s="62" t="s">
        <v>144</v>
      </c>
      <c r="B71" s="203" t="s">
        <v>135</v>
      </c>
      <c r="C71" s="168">
        <v>22699.41</v>
      </c>
      <c r="D71" s="168">
        <v>1891.6175000000001</v>
      </c>
      <c r="E71" s="204" t="s">
        <v>19</v>
      </c>
      <c r="F71" s="168">
        <v>2764.55</v>
      </c>
      <c r="G71" s="168">
        <v>2010.72</v>
      </c>
      <c r="H71" s="168">
        <v>417.77</v>
      </c>
      <c r="I71" s="168">
        <v>2253.5500000000002</v>
      </c>
      <c r="J71" s="168">
        <v>1139.26</v>
      </c>
      <c r="K71" s="168">
        <v>857.75</v>
      </c>
      <c r="L71" s="168">
        <v>1506.01</v>
      </c>
      <c r="M71" s="167"/>
      <c r="N71" s="168">
        <v>29.08</v>
      </c>
      <c r="O71" s="168">
        <v>3994.04</v>
      </c>
      <c r="P71" s="168">
        <v>3127.29</v>
      </c>
      <c r="Q71" s="167"/>
      <c r="R71" s="168">
        <v>18100.02</v>
      </c>
      <c r="S71" s="19"/>
      <c r="T71" s="168">
        <f>2889.67-875</f>
        <v>2014.67</v>
      </c>
      <c r="U71" s="168">
        <f>1041.88-875</f>
        <v>166.88000000000011</v>
      </c>
      <c r="V71" s="168"/>
      <c r="W71" s="168">
        <v>177.46</v>
      </c>
      <c r="X71" s="168">
        <f>191.06-45.19-62.61</f>
        <v>83.26</v>
      </c>
      <c r="Y71" s="168">
        <v>319.57</v>
      </c>
      <c r="Z71" s="168">
        <f t="shared" si="22"/>
        <v>2761.8400000000006</v>
      </c>
      <c r="AA71" s="18"/>
      <c r="AB71" s="219">
        <f t="shared" si="19"/>
        <v>9443.6</v>
      </c>
      <c r="AC71" s="224">
        <f t="shared" si="20"/>
        <v>-6681.76</v>
      </c>
      <c r="AD71" s="8">
        <f t="shared" si="21"/>
        <v>-0.70754373332203824</v>
      </c>
    </row>
    <row r="72" spans="1:30" x14ac:dyDescent="0.4">
      <c r="A72" s="62" t="s">
        <v>146</v>
      </c>
      <c r="B72" s="203" t="s">
        <v>137</v>
      </c>
      <c r="C72" s="168">
        <v>46192.66</v>
      </c>
      <c r="D72" s="168">
        <v>3849.3883333333333</v>
      </c>
      <c r="E72" s="204" t="s">
        <v>19</v>
      </c>
      <c r="F72" s="168">
        <v>1862.6</v>
      </c>
      <c r="G72" s="168">
        <v>2864.6</v>
      </c>
      <c r="H72" s="168">
        <v>1550.4</v>
      </c>
      <c r="I72" s="167"/>
      <c r="J72" s="168">
        <v>2522.4</v>
      </c>
      <c r="K72" s="168">
        <v>2050.6</v>
      </c>
      <c r="L72" s="168">
        <v>2050.6</v>
      </c>
      <c r="M72" s="167"/>
      <c r="N72" s="167"/>
      <c r="O72" s="167"/>
      <c r="P72" s="167"/>
      <c r="Q72" s="167"/>
      <c r="R72" s="168">
        <v>12901.2</v>
      </c>
      <c r="S72" s="19"/>
      <c r="T72" s="167"/>
      <c r="U72" s="167"/>
      <c r="V72" s="167"/>
      <c r="W72" s="167"/>
      <c r="X72" s="167"/>
      <c r="Y72" s="167"/>
      <c r="Z72" s="168">
        <f t="shared" si="22"/>
        <v>0</v>
      </c>
      <c r="AA72" s="18"/>
      <c r="AB72" s="219">
        <f t="shared" si="19"/>
        <v>10850.6</v>
      </c>
      <c r="AC72" s="224">
        <f t="shared" si="20"/>
        <v>-10850.6</v>
      </c>
      <c r="AD72" s="8">
        <f t="shared" si="21"/>
        <v>-1</v>
      </c>
    </row>
    <row r="73" spans="1:30" x14ac:dyDescent="0.4">
      <c r="A73" s="62" t="s">
        <v>148</v>
      </c>
      <c r="B73" s="203" t="s">
        <v>139</v>
      </c>
      <c r="C73" s="168">
        <v>3139.57</v>
      </c>
      <c r="D73" s="168">
        <v>261.63083333333333</v>
      </c>
      <c r="E73" s="204" t="s">
        <v>19</v>
      </c>
      <c r="F73" s="168">
        <v>2990</v>
      </c>
      <c r="G73" s="168">
        <v>50</v>
      </c>
      <c r="H73" s="167"/>
      <c r="I73" s="167"/>
      <c r="J73" s="168">
        <v>1352.25</v>
      </c>
      <c r="K73" s="168">
        <v>418.17</v>
      </c>
      <c r="L73" s="167"/>
      <c r="M73" s="168"/>
      <c r="N73" s="167"/>
      <c r="O73" s="168">
        <v>189</v>
      </c>
      <c r="P73" s="168">
        <v>285</v>
      </c>
      <c r="Q73" s="167"/>
      <c r="R73" s="168">
        <v>5284.42</v>
      </c>
      <c r="S73" s="19"/>
      <c r="T73" s="167"/>
      <c r="U73" s="167"/>
      <c r="V73" s="167"/>
      <c r="W73" s="168">
        <v>6343.17</v>
      </c>
      <c r="X73" s="168">
        <v>3836.31</v>
      </c>
      <c r="Y73" s="168">
        <v>2287.4299999999998</v>
      </c>
      <c r="Z73" s="168">
        <f t="shared" si="22"/>
        <v>12466.91</v>
      </c>
      <c r="AA73" s="18"/>
      <c r="AB73" s="219">
        <f t="shared" si="19"/>
        <v>4810.42</v>
      </c>
      <c r="AC73" s="224">
        <f t="shared" si="20"/>
        <v>7656.49</v>
      </c>
      <c r="AD73" s="8">
        <f t="shared" si="21"/>
        <v>1.5916468832243338</v>
      </c>
    </row>
    <row r="74" spans="1:30" x14ac:dyDescent="0.4">
      <c r="A74" s="62" t="s">
        <v>150</v>
      </c>
      <c r="B74" s="203" t="s">
        <v>141</v>
      </c>
      <c r="C74" s="168">
        <v>42900</v>
      </c>
      <c r="D74" s="168">
        <v>3575</v>
      </c>
      <c r="E74" s="204" t="s">
        <v>19</v>
      </c>
      <c r="F74" s="168">
        <v>2400</v>
      </c>
      <c r="G74" s="167"/>
      <c r="H74" s="167"/>
      <c r="I74" s="167"/>
      <c r="J74" s="167"/>
      <c r="K74" s="168">
        <v>2400</v>
      </c>
      <c r="L74" s="167"/>
      <c r="M74" s="167"/>
      <c r="N74" s="167"/>
      <c r="O74" s="167"/>
      <c r="P74" s="167"/>
      <c r="Q74" s="167"/>
      <c r="R74" s="168">
        <v>4800</v>
      </c>
      <c r="S74" s="19"/>
      <c r="T74" s="167"/>
      <c r="U74" s="167"/>
      <c r="V74" s="168"/>
      <c r="W74" s="167"/>
      <c r="X74" s="167"/>
      <c r="Y74" s="167"/>
      <c r="Z74" s="168">
        <f t="shared" si="22"/>
        <v>0</v>
      </c>
      <c r="AA74" s="18"/>
      <c r="AB74" s="219">
        <f t="shared" si="19"/>
        <v>4800</v>
      </c>
      <c r="AC74" s="224">
        <f t="shared" si="20"/>
        <v>-4800</v>
      </c>
      <c r="AD74" s="8">
        <f t="shared" si="21"/>
        <v>-1</v>
      </c>
    </row>
    <row r="75" spans="1:30" x14ac:dyDescent="0.4">
      <c r="A75" s="62" t="s">
        <v>152</v>
      </c>
      <c r="B75" s="203" t="s">
        <v>145</v>
      </c>
      <c r="C75" s="168">
        <v>3227.57</v>
      </c>
      <c r="D75" s="168">
        <v>268.9641666666667</v>
      </c>
      <c r="E75" s="204" t="s">
        <v>19</v>
      </c>
      <c r="F75" s="168">
        <v>609.55999999999995</v>
      </c>
      <c r="G75" s="168">
        <v>613.58000000000004</v>
      </c>
      <c r="H75" s="168">
        <v>208</v>
      </c>
      <c r="I75" s="168">
        <v>684.85</v>
      </c>
      <c r="J75" s="168">
        <v>713.62</v>
      </c>
      <c r="K75" s="168">
        <v>713.62</v>
      </c>
      <c r="L75" s="168">
        <v>713.62</v>
      </c>
      <c r="M75" s="168">
        <v>962.49</v>
      </c>
      <c r="N75" s="168">
        <v>476.84</v>
      </c>
      <c r="O75" s="167"/>
      <c r="P75" s="168">
        <v>475.72</v>
      </c>
      <c r="Q75" s="168">
        <v>950.86</v>
      </c>
      <c r="R75" s="168">
        <v>7122.76</v>
      </c>
      <c r="S75" s="19"/>
      <c r="T75" s="167"/>
      <c r="U75" s="168">
        <v>475.43</v>
      </c>
      <c r="V75" s="168">
        <v>475.43</v>
      </c>
      <c r="W75" s="168">
        <v>1084.8699999999999</v>
      </c>
      <c r="X75" s="168">
        <v>548.55999999999995</v>
      </c>
      <c r="Y75" s="168">
        <v>548.55999999999995</v>
      </c>
      <c r="Z75" s="168">
        <f t="shared" si="22"/>
        <v>3132.85</v>
      </c>
      <c r="AA75" s="18"/>
      <c r="AB75" s="219">
        <f t="shared" si="19"/>
        <v>3543.2299999999996</v>
      </c>
      <c r="AC75" s="224">
        <f t="shared" si="20"/>
        <v>-410.37999999999965</v>
      </c>
      <c r="AD75" s="8">
        <f t="shared" si="21"/>
        <v>-0.11582087530304262</v>
      </c>
    </row>
    <row r="76" spans="1:30" x14ac:dyDescent="0.4">
      <c r="A76" s="62"/>
      <c r="B76" s="203" t="s">
        <v>147</v>
      </c>
      <c r="C76" s="168">
        <v>4100.0600000000004</v>
      </c>
      <c r="D76" s="168">
        <v>341.67166666666668</v>
      </c>
      <c r="E76" s="204" t="s">
        <v>19</v>
      </c>
      <c r="F76" s="168">
        <v>50.11</v>
      </c>
      <c r="G76" s="168">
        <v>97.36</v>
      </c>
      <c r="H76" s="167"/>
      <c r="I76" s="167"/>
      <c r="J76" s="167"/>
      <c r="K76" s="167"/>
      <c r="L76" s="167"/>
      <c r="M76" s="167"/>
      <c r="N76" s="167"/>
      <c r="O76" s="167"/>
      <c r="P76" s="167"/>
      <c r="Q76" s="167"/>
      <c r="R76" s="168">
        <v>147.47</v>
      </c>
      <c r="S76" s="19"/>
      <c r="T76" s="167"/>
      <c r="U76" s="167"/>
      <c r="V76" s="167"/>
      <c r="W76" s="167"/>
      <c r="X76" s="167"/>
      <c r="Y76" s="167"/>
      <c r="Z76" s="167"/>
      <c r="AA76" s="18"/>
      <c r="AB76" s="219">
        <f t="shared" si="19"/>
        <v>147.47</v>
      </c>
      <c r="AC76" s="224">
        <f t="shared" si="20"/>
        <v>-147.47</v>
      </c>
      <c r="AD76" s="8">
        <f t="shared" si="21"/>
        <v>-1</v>
      </c>
    </row>
    <row r="77" spans="1:30" x14ac:dyDescent="0.4">
      <c r="A77" s="62"/>
      <c r="B77" s="203" t="s">
        <v>149</v>
      </c>
      <c r="C77" s="168">
        <v>3755.68</v>
      </c>
      <c r="D77" s="168">
        <v>312.9733333333333</v>
      </c>
      <c r="E77" s="204" t="s">
        <v>19</v>
      </c>
      <c r="F77" s="167"/>
      <c r="G77" s="167"/>
      <c r="H77" s="167"/>
      <c r="I77" s="168">
        <v>2222.8000000000002</v>
      </c>
      <c r="J77" s="167"/>
      <c r="K77" s="167"/>
      <c r="L77" s="167"/>
      <c r="M77" s="167"/>
      <c r="N77" s="167"/>
      <c r="O77" s="167"/>
      <c r="P77" s="167"/>
      <c r="Q77" s="167"/>
      <c r="R77" s="168">
        <v>2222.8000000000002</v>
      </c>
      <c r="S77" s="66"/>
      <c r="T77" s="167"/>
      <c r="U77" s="167"/>
      <c r="V77" s="167"/>
      <c r="W77" s="167"/>
      <c r="X77" s="167"/>
      <c r="Y77" s="167"/>
      <c r="Z77" s="167"/>
      <c r="AA77" s="64"/>
      <c r="AB77" s="219">
        <f t="shared" si="19"/>
        <v>2222.8000000000002</v>
      </c>
      <c r="AC77" s="224">
        <f t="shared" si="20"/>
        <v>-2222.8000000000002</v>
      </c>
      <c r="AD77" s="8">
        <f t="shared" si="21"/>
        <v>-1</v>
      </c>
    </row>
    <row r="78" spans="1:30" x14ac:dyDescent="0.4">
      <c r="A78" s="62"/>
      <c r="B78" s="203" t="s">
        <v>151</v>
      </c>
      <c r="C78" s="168">
        <v>1839.2</v>
      </c>
      <c r="D78" s="168">
        <v>153.26666666666671</v>
      </c>
      <c r="E78" s="204" t="s">
        <v>19</v>
      </c>
      <c r="F78" s="167"/>
      <c r="G78" s="167"/>
      <c r="H78" s="167"/>
      <c r="I78" s="167"/>
      <c r="J78" s="167"/>
      <c r="K78" s="167"/>
      <c r="L78" s="167"/>
      <c r="M78" s="167"/>
      <c r="N78" s="167"/>
      <c r="O78" s="167"/>
      <c r="P78" s="167"/>
      <c r="Q78" s="167"/>
      <c r="R78" s="167"/>
      <c r="S78" s="66"/>
      <c r="T78" s="167"/>
      <c r="U78" s="167"/>
      <c r="V78" s="167"/>
      <c r="W78" s="167"/>
      <c r="X78" s="167"/>
      <c r="Y78" s="167"/>
      <c r="Z78" s="167"/>
      <c r="AA78" s="19"/>
      <c r="AB78" s="219">
        <f t="shared" si="19"/>
        <v>0</v>
      </c>
      <c r="AC78" s="224">
        <f t="shared" si="20"/>
        <v>0</v>
      </c>
      <c r="AD78" s="8" t="e">
        <f t="shared" si="21"/>
        <v>#DIV/0!</v>
      </c>
    </row>
    <row r="79" spans="1:30" x14ac:dyDescent="0.4">
      <c r="A79" s="62" t="s">
        <v>157</v>
      </c>
      <c r="B79" s="203" t="s">
        <v>153</v>
      </c>
      <c r="C79" s="169">
        <v>29729.59</v>
      </c>
      <c r="D79" s="169">
        <v>2477.4658333333332</v>
      </c>
      <c r="E79" s="204" t="s">
        <v>19</v>
      </c>
      <c r="F79" s="169">
        <v>2331</v>
      </c>
      <c r="G79" s="169">
        <v>1875</v>
      </c>
      <c r="H79" s="169">
        <v>1875</v>
      </c>
      <c r="I79" s="169">
        <v>6750</v>
      </c>
      <c r="J79" s="169">
        <v>4100</v>
      </c>
      <c r="K79" s="169">
        <v>1875</v>
      </c>
      <c r="L79" s="169">
        <v>1875</v>
      </c>
      <c r="M79" s="169">
        <v>1875</v>
      </c>
      <c r="N79" s="169">
        <v>1875</v>
      </c>
      <c r="O79" s="170"/>
      <c r="P79" s="170"/>
      <c r="Q79" s="169">
        <v>1875</v>
      </c>
      <c r="R79" s="169">
        <v>26306</v>
      </c>
      <c r="S79" s="19"/>
      <c r="T79" s="170"/>
      <c r="U79" s="170"/>
      <c r="V79" s="170"/>
      <c r="W79" s="170"/>
      <c r="X79" s="170"/>
      <c r="Y79" s="170"/>
      <c r="Z79" s="170"/>
      <c r="AA79" s="19"/>
      <c r="AB79" s="215">
        <f t="shared" si="19"/>
        <v>18806</v>
      </c>
      <c r="AC79" s="11">
        <f t="shared" si="20"/>
        <v>-18806</v>
      </c>
      <c r="AD79" s="12">
        <f t="shared" si="21"/>
        <v>-1</v>
      </c>
    </row>
    <row r="80" spans="1:30" x14ac:dyDescent="0.4">
      <c r="A80" s="62" t="s">
        <v>163</v>
      </c>
      <c r="B80" s="203" t="s">
        <v>154</v>
      </c>
      <c r="C80" s="169">
        <v>1691879.57</v>
      </c>
      <c r="D80" s="169">
        <v>140989.96416666667</v>
      </c>
      <c r="E80" s="204" t="s">
        <v>19</v>
      </c>
      <c r="F80" s="169">
        <v>193024.33</v>
      </c>
      <c r="G80" s="169">
        <v>94888.56</v>
      </c>
      <c r="H80" s="169">
        <v>114172.48</v>
      </c>
      <c r="I80" s="169">
        <v>78461.490000000005</v>
      </c>
      <c r="J80" s="169">
        <v>119956.54</v>
      </c>
      <c r="K80" s="169">
        <v>141385.46</v>
      </c>
      <c r="L80" s="169">
        <v>114224.39</v>
      </c>
      <c r="M80" s="169">
        <v>63381.42</v>
      </c>
      <c r="N80" s="169">
        <v>122569.99</v>
      </c>
      <c r="O80" s="169">
        <v>53301.3</v>
      </c>
      <c r="P80" s="169">
        <v>79860.31</v>
      </c>
      <c r="Q80" s="169">
        <v>109596.09</v>
      </c>
      <c r="R80" s="169">
        <v>1284822.3600000001</v>
      </c>
      <c r="S80" s="19"/>
      <c r="T80" s="169">
        <f>SUM(T58:T79)</f>
        <v>50205.989999999991</v>
      </c>
      <c r="U80" s="169">
        <f t="shared" ref="U80:Z80" si="23">SUM(U58:U79)</f>
        <v>78860.13</v>
      </c>
      <c r="V80" s="169">
        <f t="shared" si="23"/>
        <v>109624.66</v>
      </c>
      <c r="W80" s="169">
        <f t="shared" si="23"/>
        <v>70710.080000000002</v>
      </c>
      <c r="X80" s="169">
        <f t="shared" si="23"/>
        <v>50870.57</v>
      </c>
      <c r="Y80" s="169">
        <f t="shared" si="23"/>
        <v>72637.72</v>
      </c>
      <c r="Z80" s="169">
        <f t="shared" si="23"/>
        <v>432909.14999999997</v>
      </c>
      <c r="AA80" s="64"/>
      <c r="AB80" s="169">
        <f>SUM(AB58:AB79)</f>
        <v>741888.86</v>
      </c>
      <c r="AC80" s="169">
        <f>SUM(AC58:AC79)</f>
        <v>-308979.70999999985</v>
      </c>
      <c r="AD80" s="12">
        <f t="shared" ref="AD80:AD110" si="24">+AC80/AB80</f>
        <v>-0.41647708526045241</v>
      </c>
    </row>
    <row r="81" spans="1:30" x14ac:dyDescent="0.4">
      <c r="A81" s="62"/>
      <c r="B81" s="203"/>
      <c r="C81" s="167"/>
      <c r="D81" s="167"/>
      <c r="E81" s="204" t="s">
        <v>19</v>
      </c>
      <c r="F81" s="167"/>
      <c r="G81" s="167"/>
      <c r="H81" s="167"/>
      <c r="I81" s="167"/>
      <c r="J81" s="167"/>
      <c r="K81" s="167"/>
      <c r="L81" s="167"/>
      <c r="M81" s="167"/>
      <c r="N81" s="167"/>
      <c r="O81" s="167"/>
      <c r="P81" s="167"/>
      <c r="Q81" s="167"/>
      <c r="R81" s="167"/>
      <c r="S81" s="66"/>
      <c r="T81" s="167"/>
      <c r="U81" s="167"/>
      <c r="V81" s="167"/>
      <c r="W81" s="167"/>
      <c r="X81" s="167"/>
      <c r="Y81" s="167"/>
      <c r="Z81" s="167"/>
      <c r="AA81" s="64"/>
      <c r="AB81" s="167"/>
      <c r="AC81" s="4"/>
      <c r="AD81" s="5"/>
    </row>
    <row r="82" spans="1:30" x14ac:dyDescent="0.4">
      <c r="A82" s="62" t="s">
        <v>167</v>
      </c>
      <c r="B82" s="203" t="s">
        <v>59</v>
      </c>
      <c r="C82" s="167"/>
      <c r="D82" s="167"/>
      <c r="E82" s="204" t="s">
        <v>19</v>
      </c>
      <c r="F82" s="167"/>
      <c r="G82" s="167"/>
      <c r="H82" s="167"/>
      <c r="I82" s="167"/>
      <c r="J82" s="167"/>
      <c r="K82" s="167"/>
      <c r="L82" s="167"/>
      <c r="M82" s="167"/>
      <c r="N82" s="167"/>
      <c r="O82" s="167"/>
      <c r="P82" s="167"/>
      <c r="Q82" s="167"/>
      <c r="R82" s="167"/>
      <c r="S82" s="19"/>
      <c r="T82" s="167"/>
      <c r="U82" s="167"/>
      <c r="V82" s="167"/>
      <c r="W82" s="167"/>
      <c r="X82" s="167"/>
      <c r="Y82" s="167"/>
      <c r="Z82" s="167"/>
      <c r="AA82" s="18"/>
      <c r="AB82" s="167"/>
      <c r="AC82" s="4"/>
      <c r="AD82" s="5"/>
    </row>
    <row r="83" spans="1:30" x14ac:dyDescent="0.4">
      <c r="A83" s="62"/>
      <c r="B83" s="203" t="s">
        <v>158</v>
      </c>
      <c r="C83" s="168">
        <v>-2324660.96</v>
      </c>
      <c r="D83" s="168">
        <v>-193721.74666666667</v>
      </c>
      <c r="E83" s="204" t="s">
        <v>19</v>
      </c>
      <c r="F83" s="168">
        <v>2919.9</v>
      </c>
      <c r="G83" s="168">
        <v>3046.86</v>
      </c>
      <c r="H83" s="167"/>
      <c r="I83" s="168">
        <v>3046.86</v>
      </c>
      <c r="J83" s="168">
        <v>2665.98</v>
      </c>
      <c r="K83" s="168">
        <v>2204</v>
      </c>
      <c r="L83" s="168">
        <v>6792</v>
      </c>
      <c r="M83" s="168">
        <v>3191.44</v>
      </c>
      <c r="N83" s="168">
        <v>652.41999999999996</v>
      </c>
      <c r="O83" s="168">
        <v>5123.8999999999996</v>
      </c>
      <c r="P83" s="168">
        <v>461.98</v>
      </c>
      <c r="Q83" s="168">
        <v>4996.9399999999996</v>
      </c>
      <c r="R83" s="168">
        <v>35102.28</v>
      </c>
      <c r="S83" s="19"/>
      <c r="T83" s="168">
        <v>652.41999999999996</v>
      </c>
      <c r="U83" s="168">
        <v>5250.61</v>
      </c>
      <c r="V83" s="167"/>
      <c r="W83" s="168">
        <v>6919.16</v>
      </c>
      <c r="X83" s="168">
        <v>8948.74</v>
      </c>
      <c r="Y83" s="167"/>
      <c r="Z83" s="168">
        <v>21770.93</v>
      </c>
      <c r="AA83" s="18"/>
      <c r="AB83" s="219">
        <f>SUM(F83:K83)</f>
        <v>13883.6</v>
      </c>
      <c r="AC83" s="224">
        <f>+Z83-AB83</f>
        <v>7887.33</v>
      </c>
      <c r="AD83" s="8">
        <f t="shared" si="24"/>
        <v>0.56810409403901008</v>
      </c>
    </row>
    <row r="84" spans="1:30" x14ac:dyDescent="0.4">
      <c r="A84" s="62"/>
      <c r="B84" s="203" t="s">
        <v>164</v>
      </c>
      <c r="C84" s="168">
        <v>38870</v>
      </c>
      <c r="D84" s="168">
        <v>3239.1666666666665</v>
      </c>
      <c r="E84" s="204" t="s">
        <v>19</v>
      </c>
      <c r="F84" s="167"/>
      <c r="G84" s="168">
        <v>2990</v>
      </c>
      <c r="H84" s="168">
        <v>2990</v>
      </c>
      <c r="I84" s="168">
        <v>2990</v>
      </c>
      <c r="J84" s="168">
        <v>2990</v>
      </c>
      <c r="K84" s="168">
        <v>2990</v>
      </c>
      <c r="L84" s="168">
        <v>2990</v>
      </c>
      <c r="M84" s="168">
        <v>2990</v>
      </c>
      <c r="N84" s="168">
        <v>2990</v>
      </c>
      <c r="O84" s="168">
        <v>2990</v>
      </c>
      <c r="P84" s="168">
        <v>2990</v>
      </c>
      <c r="Q84" s="168">
        <v>2990</v>
      </c>
      <c r="R84" s="168">
        <v>32890</v>
      </c>
      <c r="S84" s="66"/>
      <c r="T84" s="167"/>
      <c r="U84" s="167"/>
      <c r="V84" s="167"/>
      <c r="W84" s="167"/>
      <c r="X84" s="167"/>
      <c r="Y84" s="167"/>
      <c r="Z84" s="167"/>
      <c r="AA84" s="64"/>
      <c r="AB84" s="219">
        <f>SUM(F84:K84)</f>
        <v>14950</v>
      </c>
      <c r="AC84" s="224">
        <f t="shared" ref="AC84:AC86" si="25">+Z84-AB84</f>
        <v>-14950</v>
      </c>
      <c r="AD84" s="8">
        <f t="shared" ref="AD84:AD86" si="26">+AC84/AB84</f>
        <v>-1</v>
      </c>
    </row>
    <row r="85" spans="1:30" x14ac:dyDescent="0.4">
      <c r="A85" s="62"/>
      <c r="B85" s="203" t="s">
        <v>166</v>
      </c>
      <c r="C85" s="168"/>
      <c r="D85" s="168"/>
      <c r="E85" s="204"/>
      <c r="F85" s="167"/>
      <c r="G85" s="168"/>
      <c r="H85" s="168"/>
      <c r="I85" s="168"/>
      <c r="J85" s="168"/>
      <c r="K85" s="168"/>
      <c r="L85" s="168"/>
      <c r="M85" s="168"/>
      <c r="N85" s="168"/>
      <c r="O85" s="168"/>
      <c r="P85" s="168"/>
      <c r="Q85" s="168"/>
      <c r="R85" s="168"/>
      <c r="S85" s="66"/>
      <c r="T85" s="167"/>
      <c r="U85" s="167"/>
      <c r="V85" s="167"/>
      <c r="W85" s="167"/>
      <c r="X85" s="167"/>
      <c r="Y85" s="168">
        <v>146.51</v>
      </c>
      <c r="Z85" s="168">
        <v>146.51</v>
      </c>
      <c r="AA85" s="66"/>
      <c r="AB85" s="219">
        <f>SUM(F85:K85)</f>
        <v>0</v>
      </c>
      <c r="AC85" s="224">
        <f t="shared" si="25"/>
        <v>146.51</v>
      </c>
      <c r="AD85" s="8" t="e">
        <f t="shared" ref="AD85" si="27">+AC85/AB85</f>
        <v>#DIV/0!</v>
      </c>
    </row>
    <row r="86" spans="1:30" x14ac:dyDescent="0.4">
      <c r="A86" s="62" t="s">
        <v>176</v>
      </c>
      <c r="B86" s="203" t="s">
        <v>168</v>
      </c>
      <c r="C86" s="169">
        <v>4349</v>
      </c>
      <c r="D86" s="169">
        <v>362.41666666666669</v>
      </c>
      <c r="E86" s="204" t="s">
        <v>19</v>
      </c>
      <c r="F86" s="170"/>
      <c r="G86" s="170"/>
      <c r="H86" s="170"/>
      <c r="I86" s="170"/>
      <c r="J86" s="170"/>
      <c r="K86" s="170"/>
      <c r="L86" s="170"/>
      <c r="M86" s="170"/>
      <c r="N86" s="170"/>
      <c r="O86" s="170"/>
      <c r="P86" s="170"/>
      <c r="Q86" s="170"/>
      <c r="R86" s="170"/>
      <c r="S86" s="19"/>
      <c r="T86" s="170"/>
      <c r="U86" s="170"/>
      <c r="V86" s="170"/>
      <c r="W86" s="170"/>
      <c r="X86" s="170"/>
      <c r="Y86" s="170"/>
      <c r="Z86" s="170"/>
      <c r="AA86" s="19"/>
      <c r="AB86" s="215">
        <f>SUM(F86:K86)</f>
        <v>0</v>
      </c>
      <c r="AC86" s="11">
        <f t="shared" si="25"/>
        <v>0</v>
      </c>
      <c r="AD86" s="12" t="e">
        <f t="shared" si="26"/>
        <v>#DIV/0!</v>
      </c>
    </row>
    <row r="87" spans="1:30" x14ac:dyDescent="0.4">
      <c r="A87" s="62"/>
      <c r="B87" s="203" t="s">
        <v>175</v>
      </c>
      <c r="C87" s="169">
        <v>-2281441.96</v>
      </c>
      <c r="D87" s="169">
        <v>-190120.16333333333</v>
      </c>
      <c r="E87" s="204" t="s">
        <v>19</v>
      </c>
      <c r="F87" s="169">
        <v>2919.9</v>
      </c>
      <c r="G87" s="169">
        <v>6036.86</v>
      </c>
      <c r="H87" s="169">
        <v>2990</v>
      </c>
      <c r="I87" s="169">
        <v>6036.86</v>
      </c>
      <c r="J87" s="169">
        <v>5655.98</v>
      </c>
      <c r="K87" s="169">
        <v>5194</v>
      </c>
      <c r="L87" s="169">
        <v>9782</v>
      </c>
      <c r="M87" s="169">
        <v>6181.44</v>
      </c>
      <c r="N87" s="169">
        <v>3642.42</v>
      </c>
      <c r="O87" s="169">
        <v>8113.9</v>
      </c>
      <c r="P87" s="169">
        <v>3451.98</v>
      </c>
      <c r="Q87" s="169">
        <v>7986.94</v>
      </c>
      <c r="R87" s="169">
        <v>67992.28</v>
      </c>
      <c r="S87" s="66"/>
      <c r="T87" s="169">
        <v>652.41999999999996</v>
      </c>
      <c r="U87" s="169">
        <v>5250.61</v>
      </c>
      <c r="V87" s="169"/>
      <c r="W87" s="169">
        <v>6919.16</v>
      </c>
      <c r="X87" s="169">
        <v>8948.74</v>
      </c>
      <c r="Y87" s="169">
        <v>146.51</v>
      </c>
      <c r="Z87" s="169">
        <v>21917.439999999999</v>
      </c>
      <c r="AA87" s="64"/>
      <c r="AB87" s="169">
        <f>SUM(AB83:AB86)</f>
        <v>28833.599999999999</v>
      </c>
      <c r="AC87" s="169">
        <f>SUM(AC83:AC86)</f>
        <v>-6916.16</v>
      </c>
      <c r="AD87" s="12">
        <f t="shared" si="24"/>
        <v>-0.23986460240830143</v>
      </c>
    </row>
    <row r="88" spans="1:30" x14ac:dyDescent="0.4">
      <c r="A88" s="62"/>
      <c r="B88" s="203"/>
      <c r="C88" s="167"/>
      <c r="D88" s="167"/>
      <c r="E88" s="204" t="s">
        <v>19</v>
      </c>
      <c r="F88" s="167"/>
      <c r="G88" s="167"/>
      <c r="H88" s="167"/>
      <c r="I88" s="167"/>
      <c r="J88" s="167"/>
      <c r="K88" s="167"/>
      <c r="L88" s="167"/>
      <c r="M88" s="167"/>
      <c r="N88" s="167"/>
      <c r="O88" s="167"/>
      <c r="P88" s="167"/>
      <c r="Q88" s="167"/>
      <c r="R88" s="167"/>
      <c r="S88" s="66"/>
      <c r="T88" s="167"/>
      <c r="U88" s="167"/>
      <c r="V88" s="167"/>
      <c r="W88" s="167"/>
      <c r="X88" s="167"/>
      <c r="Y88" s="167"/>
      <c r="Z88" s="167"/>
      <c r="AA88" s="18"/>
      <c r="AB88" s="167"/>
      <c r="AC88" s="4"/>
      <c r="AD88" s="5"/>
    </row>
    <row r="89" spans="1:30" x14ac:dyDescent="0.4">
      <c r="A89" s="62" t="s">
        <v>192</v>
      </c>
      <c r="B89" s="203" t="s">
        <v>60</v>
      </c>
      <c r="C89" s="167"/>
      <c r="D89" s="167"/>
      <c r="E89" s="204" t="s">
        <v>19</v>
      </c>
      <c r="F89" s="167"/>
      <c r="G89" s="167"/>
      <c r="H89" s="167"/>
      <c r="I89" s="167"/>
      <c r="J89" s="167"/>
      <c r="K89" s="167"/>
      <c r="L89" s="167"/>
      <c r="M89" s="167"/>
      <c r="N89" s="167"/>
      <c r="O89" s="167"/>
      <c r="P89" s="167"/>
      <c r="Q89" s="167"/>
      <c r="R89" s="167"/>
      <c r="S89" s="19"/>
      <c r="T89" s="167"/>
      <c r="U89" s="167"/>
      <c r="V89" s="167"/>
      <c r="W89" s="167"/>
      <c r="X89" s="167"/>
      <c r="Y89" s="167"/>
      <c r="Z89" s="167"/>
      <c r="AA89" s="64"/>
      <c r="AB89" s="167"/>
      <c r="AC89" s="4"/>
      <c r="AD89" s="5"/>
    </row>
    <row r="90" spans="1:30" x14ac:dyDescent="0.4">
      <c r="A90" s="62"/>
      <c r="B90" s="203" t="s">
        <v>177</v>
      </c>
      <c r="C90" s="168">
        <v>2084.81</v>
      </c>
      <c r="D90" s="168">
        <v>173.73416666666671</v>
      </c>
      <c r="E90" s="204" t="s">
        <v>19</v>
      </c>
      <c r="F90" s="168">
        <v>334.84</v>
      </c>
      <c r="G90" s="168">
        <v>362.06</v>
      </c>
      <c r="H90" s="168">
        <v>337.87</v>
      </c>
      <c r="I90" s="168">
        <v>337.97</v>
      </c>
      <c r="J90" s="168">
        <v>337.2</v>
      </c>
      <c r="K90" s="167"/>
      <c r="L90" s="168">
        <v>258.49</v>
      </c>
      <c r="M90" s="167"/>
      <c r="N90" s="167"/>
      <c r="O90" s="167"/>
      <c r="P90" s="167"/>
      <c r="Q90" s="167"/>
      <c r="R90" s="168">
        <v>1968.43</v>
      </c>
      <c r="S90" s="66"/>
      <c r="T90" s="167"/>
      <c r="U90" s="167"/>
      <c r="V90" s="167"/>
      <c r="W90" s="167"/>
      <c r="X90" s="167"/>
      <c r="Y90" s="167"/>
      <c r="Z90" s="167"/>
      <c r="AA90" s="64"/>
      <c r="AB90" s="219">
        <f>SUM(F90:K90)</f>
        <v>1709.94</v>
      </c>
      <c r="AC90" s="224">
        <f>+Z90-AB90</f>
        <v>-1709.94</v>
      </c>
      <c r="AD90" s="8">
        <f t="shared" si="24"/>
        <v>-1</v>
      </c>
    </row>
    <row r="91" spans="1:30" x14ac:dyDescent="0.4">
      <c r="A91" s="62"/>
      <c r="B91" s="203" t="s">
        <v>187</v>
      </c>
      <c r="C91" s="168">
        <v>470.42</v>
      </c>
      <c r="D91" s="168">
        <v>39.201666666666704</v>
      </c>
      <c r="E91" s="204" t="s">
        <v>19</v>
      </c>
      <c r="F91" s="167"/>
      <c r="G91" s="167"/>
      <c r="H91" s="167"/>
      <c r="I91" s="167"/>
      <c r="J91" s="167"/>
      <c r="K91" s="167"/>
      <c r="L91" s="167"/>
      <c r="M91" s="167"/>
      <c r="N91" s="167"/>
      <c r="O91" s="167"/>
      <c r="P91" s="167"/>
      <c r="Q91" s="167"/>
      <c r="R91" s="167"/>
      <c r="S91" s="19"/>
      <c r="T91" s="167"/>
      <c r="U91" s="167"/>
      <c r="V91" s="167"/>
      <c r="W91" s="167"/>
      <c r="X91" s="167"/>
      <c r="Y91" s="167"/>
      <c r="Z91" s="167"/>
      <c r="AA91" s="64"/>
      <c r="AB91" s="219">
        <f>SUM(F91:K91)</f>
        <v>0</v>
      </c>
      <c r="AC91" s="224">
        <f t="shared" ref="AC91:AC92" si="28">+Z91-AB91</f>
        <v>0</v>
      </c>
      <c r="AD91" s="8" t="e">
        <f t="shared" ref="AD91:AD92" si="29">+AC91/AB91</f>
        <v>#DIV/0!</v>
      </c>
    </row>
    <row r="92" spans="1:30" x14ac:dyDescent="0.4">
      <c r="A92" s="62"/>
      <c r="B92" s="203" t="s">
        <v>193</v>
      </c>
      <c r="C92" s="170"/>
      <c r="D92" s="169"/>
      <c r="E92" s="204" t="s">
        <v>19</v>
      </c>
      <c r="F92" s="169">
        <v>468.72</v>
      </c>
      <c r="G92" s="170"/>
      <c r="H92" s="170"/>
      <c r="I92" s="170"/>
      <c r="J92" s="170"/>
      <c r="K92" s="170"/>
      <c r="L92" s="170"/>
      <c r="M92" s="170"/>
      <c r="N92" s="170"/>
      <c r="O92" s="170"/>
      <c r="P92" s="170"/>
      <c r="Q92" s="170"/>
      <c r="R92" s="169">
        <v>468.72</v>
      </c>
      <c r="S92" s="66"/>
      <c r="T92" s="170"/>
      <c r="U92" s="170"/>
      <c r="V92" s="170"/>
      <c r="W92" s="170"/>
      <c r="X92" s="170"/>
      <c r="Y92" s="170"/>
      <c r="Z92" s="170"/>
      <c r="AA92" s="19"/>
      <c r="AB92" s="215">
        <f>SUM(F92:K92)</f>
        <v>468.72</v>
      </c>
      <c r="AC92" s="11">
        <f t="shared" si="28"/>
        <v>-468.72</v>
      </c>
      <c r="AD92" s="12">
        <f t="shared" si="29"/>
        <v>-1</v>
      </c>
    </row>
    <row r="93" spans="1:30" x14ac:dyDescent="0.4">
      <c r="A93" s="62"/>
      <c r="B93" s="203" t="s">
        <v>200</v>
      </c>
      <c r="C93" s="169">
        <v>2555.23</v>
      </c>
      <c r="D93" s="169">
        <v>212.93583333333331</v>
      </c>
      <c r="E93" s="204" t="s">
        <v>19</v>
      </c>
      <c r="F93" s="169">
        <v>803.56</v>
      </c>
      <c r="G93" s="169">
        <v>362.06</v>
      </c>
      <c r="H93" s="169">
        <v>337.87</v>
      </c>
      <c r="I93" s="169">
        <v>337.97</v>
      </c>
      <c r="J93" s="169">
        <v>337.2</v>
      </c>
      <c r="K93" s="169"/>
      <c r="L93" s="169">
        <v>258.49</v>
      </c>
      <c r="M93" s="169"/>
      <c r="N93" s="169"/>
      <c r="O93" s="169"/>
      <c r="P93" s="169"/>
      <c r="Q93" s="169"/>
      <c r="R93" s="169">
        <v>2437.15</v>
      </c>
      <c r="S93" s="66"/>
      <c r="T93" s="169"/>
      <c r="U93" s="169"/>
      <c r="V93" s="169"/>
      <c r="W93" s="169"/>
      <c r="X93" s="169"/>
      <c r="Y93" s="169"/>
      <c r="Z93" s="169"/>
      <c r="AA93" s="64"/>
      <c r="AB93" s="169">
        <f>SUM(AB90:AB92)</f>
        <v>2178.66</v>
      </c>
      <c r="AC93" s="169">
        <f>SUM(AC90:AC92)</f>
        <v>-2178.66</v>
      </c>
      <c r="AD93" s="12">
        <f t="shared" si="24"/>
        <v>-1</v>
      </c>
    </row>
    <row r="94" spans="1:30" x14ac:dyDescent="0.4">
      <c r="A94" s="62"/>
      <c r="B94" s="203"/>
      <c r="C94" s="167"/>
      <c r="D94" s="167"/>
      <c r="E94" s="204" t="s">
        <v>19</v>
      </c>
      <c r="F94" s="167"/>
      <c r="G94" s="167"/>
      <c r="H94" s="167"/>
      <c r="I94" s="167"/>
      <c r="J94" s="167"/>
      <c r="K94" s="167"/>
      <c r="L94" s="167"/>
      <c r="M94" s="167"/>
      <c r="N94" s="167"/>
      <c r="O94" s="167"/>
      <c r="P94" s="167"/>
      <c r="Q94" s="167"/>
      <c r="R94" s="167"/>
      <c r="S94" s="19"/>
      <c r="T94" s="167"/>
      <c r="U94" s="167"/>
      <c r="V94" s="167"/>
      <c r="W94" s="167"/>
      <c r="X94" s="167"/>
      <c r="Y94" s="167"/>
      <c r="Z94" s="167"/>
      <c r="AA94" s="19"/>
      <c r="AB94" s="167"/>
      <c r="AC94" s="4"/>
      <c r="AD94" s="5"/>
    </row>
    <row r="95" spans="1:30" x14ac:dyDescent="0.4">
      <c r="A95" s="62"/>
      <c r="B95" s="203"/>
      <c r="C95" s="167"/>
      <c r="D95" s="167"/>
      <c r="E95" s="204" t="s">
        <v>19</v>
      </c>
      <c r="F95" s="167"/>
      <c r="G95" s="167"/>
      <c r="H95" s="167"/>
      <c r="I95" s="167"/>
      <c r="J95" s="167"/>
      <c r="K95" s="167"/>
      <c r="L95" s="167"/>
      <c r="M95" s="167"/>
      <c r="N95" s="167"/>
      <c r="O95" s="167"/>
      <c r="P95" s="167"/>
      <c r="Q95" s="167"/>
      <c r="R95" s="167"/>
      <c r="S95" s="66"/>
      <c r="T95" s="167"/>
      <c r="U95" s="167"/>
      <c r="V95" s="167"/>
      <c r="W95" s="167"/>
      <c r="X95" s="167"/>
      <c r="Y95" s="167"/>
      <c r="Z95" s="167"/>
      <c r="AA95" s="64"/>
      <c r="AB95" s="167"/>
      <c r="AC95" s="4"/>
      <c r="AD95" s="5"/>
    </row>
    <row r="96" spans="1:30" x14ac:dyDescent="0.4">
      <c r="A96" s="62" t="s">
        <v>208</v>
      </c>
      <c r="B96" s="203" t="s">
        <v>207</v>
      </c>
      <c r="C96" s="169">
        <v>-53465.7</v>
      </c>
      <c r="D96" s="169">
        <v>-4455.4750000000004</v>
      </c>
      <c r="E96" s="204" t="s">
        <v>19</v>
      </c>
      <c r="F96" s="169">
        <v>244142.66</v>
      </c>
      <c r="G96" s="169">
        <v>137949.91</v>
      </c>
      <c r="H96" s="169">
        <v>148749.91</v>
      </c>
      <c r="I96" s="169">
        <v>136927.09</v>
      </c>
      <c r="J96" s="169">
        <v>185922.16</v>
      </c>
      <c r="K96" s="169">
        <v>183564.14</v>
      </c>
      <c r="L96" s="169">
        <v>157576</v>
      </c>
      <c r="M96" s="169">
        <v>97533.45</v>
      </c>
      <c r="N96" s="169">
        <v>156644.57999999999</v>
      </c>
      <c r="O96" s="169">
        <v>91817.61</v>
      </c>
      <c r="P96" s="169">
        <v>113940.91</v>
      </c>
      <c r="Q96" s="169">
        <v>147686.24</v>
      </c>
      <c r="R96" s="169">
        <v>1802454.66</v>
      </c>
      <c r="S96" s="66"/>
      <c r="T96" s="169">
        <v>86056.23</v>
      </c>
      <c r="U96" s="169">
        <v>115215.64</v>
      </c>
      <c r="V96" s="169">
        <v>151877.35999999999</v>
      </c>
      <c r="W96" s="169">
        <v>112416.53</v>
      </c>
      <c r="X96" s="169">
        <v>100604.47</v>
      </c>
      <c r="Y96" s="169">
        <v>126326.72</v>
      </c>
      <c r="Z96" s="169">
        <v>692496.95</v>
      </c>
      <c r="AA96" s="64"/>
      <c r="AB96" s="169">
        <f>SUM(F96:K96)</f>
        <v>1037255.87</v>
      </c>
      <c r="AC96" s="11">
        <f>+Z96-AB96</f>
        <v>-344758.92000000004</v>
      </c>
      <c r="AD96" s="12">
        <f t="shared" si="24"/>
        <v>-0.33237596428352828</v>
      </c>
    </row>
    <row r="97" spans="1:30" x14ac:dyDescent="0.4">
      <c r="A97" s="62" t="s">
        <v>212</v>
      </c>
      <c r="B97" s="203"/>
      <c r="C97" s="167"/>
      <c r="D97" s="167"/>
      <c r="E97" s="204" t="s">
        <v>19</v>
      </c>
      <c r="F97" s="167"/>
      <c r="G97" s="167"/>
      <c r="H97" s="167"/>
      <c r="I97" s="167"/>
      <c r="J97" s="167"/>
      <c r="K97" s="167"/>
      <c r="L97" s="167"/>
      <c r="M97" s="167"/>
      <c r="N97" s="167"/>
      <c r="O97" s="167"/>
      <c r="P97" s="167"/>
      <c r="Q97" s="167"/>
      <c r="R97" s="167"/>
      <c r="S97" s="19"/>
      <c r="T97" s="167"/>
      <c r="U97" s="167"/>
      <c r="V97" s="167"/>
      <c r="W97" s="167"/>
      <c r="X97" s="167"/>
      <c r="Y97" s="167"/>
      <c r="Z97" s="167"/>
      <c r="AA97" s="18"/>
      <c r="AB97" s="167"/>
      <c r="AC97" s="4"/>
      <c r="AD97" s="5"/>
    </row>
    <row r="98" spans="1:30" x14ac:dyDescent="0.4">
      <c r="A98" s="62" t="s">
        <v>216</v>
      </c>
      <c r="B98" s="203" t="s">
        <v>70</v>
      </c>
      <c r="C98" s="167"/>
      <c r="D98" s="167"/>
      <c r="E98" s="204" t="s">
        <v>19</v>
      </c>
      <c r="F98" s="167"/>
      <c r="G98" s="167"/>
      <c r="H98" s="167"/>
      <c r="I98" s="167"/>
      <c r="J98" s="167"/>
      <c r="K98" s="167"/>
      <c r="L98" s="167"/>
      <c r="M98" s="167"/>
      <c r="N98" s="167"/>
      <c r="O98" s="167"/>
      <c r="P98" s="167"/>
      <c r="Q98" s="167"/>
      <c r="R98" s="167"/>
      <c r="S98" s="19"/>
      <c r="T98" s="167"/>
      <c r="U98" s="167"/>
      <c r="V98" s="167"/>
      <c r="W98" s="167"/>
      <c r="X98" s="167"/>
      <c r="Y98" s="167"/>
      <c r="Z98" s="167"/>
      <c r="AA98" s="18"/>
      <c r="AB98" s="167"/>
      <c r="AC98" s="4"/>
      <c r="AD98" s="5"/>
    </row>
    <row r="99" spans="1:30" x14ac:dyDescent="0.4">
      <c r="A99" s="62" t="s">
        <v>220</v>
      </c>
      <c r="B99" s="203" t="s">
        <v>209</v>
      </c>
      <c r="C99" s="168">
        <v>-415992</v>
      </c>
      <c r="D99" s="168">
        <v>-34666</v>
      </c>
      <c r="E99" s="204" t="s">
        <v>19</v>
      </c>
      <c r="F99" s="168">
        <v>-34666</v>
      </c>
      <c r="G99" s="168">
        <v>-34666</v>
      </c>
      <c r="H99" s="168">
        <v>-34666</v>
      </c>
      <c r="I99" s="168">
        <v>-34666</v>
      </c>
      <c r="J99" s="168">
        <v>-34666</v>
      </c>
      <c r="K99" s="168">
        <v>-34666</v>
      </c>
      <c r="L99" s="168">
        <v>-34666</v>
      </c>
      <c r="M99" s="168">
        <v>-34666</v>
      </c>
      <c r="N99" s="168">
        <v>-34666</v>
      </c>
      <c r="O99" s="168">
        <v>-34666</v>
      </c>
      <c r="P99" s="168">
        <v>-34666</v>
      </c>
      <c r="Q99" s="168">
        <v>-34666</v>
      </c>
      <c r="R99" s="168">
        <v>-415992</v>
      </c>
      <c r="S99" s="19"/>
      <c r="T99" s="168">
        <v>-34666</v>
      </c>
      <c r="U99" s="168">
        <v>-34666</v>
      </c>
      <c r="V99" s="168">
        <v>-34666</v>
      </c>
      <c r="W99" s="168">
        <v>-34666</v>
      </c>
      <c r="X99" s="168">
        <v>-34666</v>
      </c>
      <c r="Y99" s="168">
        <v>-34666</v>
      </c>
      <c r="Z99" s="168">
        <v>-207996</v>
      </c>
      <c r="AA99" s="18"/>
      <c r="AB99" s="219">
        <f t="shared" ref="AB99:AB104" si="30">SUM(F99:K99)</f>
        <v>-207996</v>
      </c>
      <c r="AC99" s="224">
        <f>+Z99-AB99</f>
        <v>0</v>
      </c>
      <c r="AD99" s="8">
        <f t="shared" si="24"/>
        <v>0</v>
      </c>
    </row>
    <row r="100" spans="1:30" x14ac:dyDescent="0.4">
      <c r="A100" s="62" t="s">
        <v>224</v>
      </c>
      <c r="B100" s="203" t="s">
        <v>213</v>
      </c>
      <c r="C100" s="168">
        <v>-441948</v>
      </c>
      <c r="D100" s="168">
        <v>-36829</v>
      </c>
      <c r="E100" s="204" t="s">
        <v>19</v>
      </c>
      <c r="F100" s="168">
        <v>-36829</v>
      </c>
      <c r="G100" s="168">
        <v>-36829</v>
      </c>
      <c r="H100" s="168">
        <v>-36829</v>
      </c>
      <c r="I100" s="168">
        <v>-36829</v>
      </c>
      <c r="J100" s="168">
        <v>-36829</v>
      </c>
      <c r="K100" s="168">
        <v>-36829</v>
      </c>
      <c r="L100" s="168">
        <v>-36829</v>
      </c>
      <c r="M100" s="168">
        <v>-36829</v>
      </c>
      <c r="N100" s="168">
        <v>-36829</v>
      </c>
      <c r="O100" s="168">
        <v>-36829</v>
      </c>
      <c r="P100" s="168">
        <v>-36829</v>
      </c>
      <c r="Q100" s="168">
        <v>-36829</v>
      </c>
      <c r="R100" s="168">
        <v>-441948</v>
      </c>
      <c r="S100" s="19"/>
      <c r="T100" s="168">
        <v>-36829</v>
      </c>
      <c r="U100" s="168">
        <v>-36829</v>
      </c>
      <c r="V100" s="168">
        <v>-36829</v>
      </c>
      <c r="W100" s="168">
        <v>-36829</v>
      </c>
      <c r="X100" s="168">
        <v>-36829</v>
      </c>
      <c r="Y100" s="168">
        <v>-36829</v>
      </c>
      <c r="Z100" s="168">
        <v>-220974</v>
      </c>
      <c r="AA100" s="18"/>
      <c r="AB100" s="219">
        <f t="shared" si="30"/>
        <v>-220974</v>
      </c>
      <c r="AC100" s="224">
        <f t="shared" ref="AC100:AC104" si="31">+Z100-AB100</f>
        <v>0</v>
      </c>
      <c r="AD100" s="8">
        <f t="shared" ref="AD100:AD104" si="32">+AC100/AB100</f>
        <v>0</v>
      </c>
    </row>
    <row r="101" spans="1:30" x14ac:dyDescent="0.4">
      <c r="A101" s="62"/>
      <c r="B101" s="203" t="s">
        <v>217</v>
      </c>
      <c r="C101" s="168">
        <v>-141408</v>
      </c>
      <c r="D101" s="168">
        <v>-11784</v>
      </c>
      <c r="E101" s="204" t="s">
        <v>19</v>
      </c>
      <c r="F101" s="168">
        <v>-11884</v>
      </c>
      <c r="G101" s="168">
        <v>-11884</v>
      </c>
      <c r="H101" s="168">
        <v>-11884</v>
      </c>
      <c r="I101" s="168">
        <v>-11884</v>
      </c>
      <c r="J101" s="168">
        <v>-11884</v>
      </c>
      <c r="K101" s="168">
        <v>-11884</v>
      </c>
      <c r="L101" s="168">
        <v>-11884</v>
      </c>
      <c r="M101" s="168">
        <v>-11884</v>
      </c>
      <c r="N101" s="168">
        <v>-11884</v>
      </c>
      <c r="O101" s="168">
        <v>-11884</v>
      </c>
      <c r="P101" s="168">
        <v>-11884</v>
      </c>
      <c r="Q101" s="168">
        <v>-11884</v>
      </c>
      <c r="R101" s="168">
        <v>-142608</v>
      </c>
      <c r="S101" s="19"/>
      <c r="T101" s="168">
        <v>-11884</v>
      </c>
      <c r="U101" s="168">
        <v>-11884</v>
      </c>
      <c r="V101" s="168">
        <v>-11884</v>
      </c>
      <c r="W101" s="168">
        <v>-11884</v>
      </c>
      <c r="X101" s="168">
        <v>-11884</v>
      </c>
      <c r="Y101" s="168">
        <v>-11884</v>
      </c>
      <c r="Z101" s="168">
        <v>-71304</v>
      </c>
      <c r="AA101" s="18"/>
      <c r="AB101" s="219">
        <f t="shared" si="30"/>
        <v>-71304</v>
      </c>
      <c r="AC101" s="224">
        <f t="shared" si="31"/>
        <v>0</v>
      </c>
      <c r="AD101" s="8">
        <f t="shared" si="32"/>
        <v>0</v>
      </c>
    </row>
    <row r="102" spans="1:30" x14ac:dyDescent="0.4">
      <c r="A102" s="62"/>
      <c r="B102" s="203" t="s">
        <v>243</v>
      </c>
      <c r="C102" s="168">
        <v>0</v>
      </c>
      <c r="D102" s="168">
        <v>0</v>
      </c>
      <c r="E102" s="204"/>
      <c r="F102" s="168"/>
      <c r="G102" s="168"/>
      <c r="H102" s="168"/>
      <c r="I102" s="168"/>
      <c r="J102" s="168"/>
      <c r="K102" s="168"/>
      <c r="L102" s="168"/>
      <c r="M102" s="168"/>
      <c r="N102" s="168"/>
      <c r="O102" s="168"/>
      <c r="P102" s="168"/>
      <c r="Q102" s="168"/>
      <c r="R102" s="168"/>
      <c r="S102" s="19"/>
      <c r="T102" s="219">
        <v>-3937.37</v>
      </c>
      <c r="U102" s="219">
        <v>0</v>
      </c>
      <c r="V102" s="219">
        <v>-6047</v>
      </c>
      <c r="W102" s="219">
        <v>-3916.67</v>
      </c>
      <c r="X102" s="219">
        <v>-3916.67</v>
      </c>
      <c r="Y102" s="168"/>
      <c r="Z102" s="168">
        <f>SUM(T102:Y102)</f>
        <v>-17817.71</v>
      </c>
      <c r="AA102" s="19"/>
      <c r="AB102" s="219">
        <f t="shared" si="30"/>
        <v>0</v>
      </c>
      <c r="AC102" s="224">
        <f t="shared" si="31"/>
        <v>-17817.71</v>
      </c>
      <c r="AD102" s="8" t="e">
        <f t="shared" si="32"/>
        <v>#DIV/0!</v>
      </c>
    </row>
    <row r="103" spans="1:30" x14ac:dyDescent="0.4">
      <c r="A103" s="62"/>
      <c r="B103" s="203" t="s">
        <v>221</v>
      </c>
      <c r="C103" s="168">
        <v>-202680</v>
      </c>
      <c r="D103" s="168">
        <v>-16890</v>
      </c>
      <c r="E103" s="204" t="s">
        <v>19</v>
      </c>
      <c r="F103" s="168">
        <v>-16890</v>
      </c>
      <c r="G103" s="168">
        <v>-16890</v>
      </c>
      <c r="H103" s="168">
        <v>-16890</v>
      </c>
      <c r="I103" s="168">
        <v>-16890</v>
      </c>
      <c r="J103" s="168">
        <v>-16890</v>
      </c>
      <c r="K103" s="168">
        <v>-16890</v>
      </c>
      <c r="L103" s="168">
        <v>-16890</v>
      </c>
      <c r="M103" s="168">
        <v>-16890</v>
      </c>
      <c r="N103" s="168">
        <v>-16890</v>
      </c>
      <c r="O103" s="168">
        <v>-16890</v>
      </c>
      <c r="P103" s="168">
        <v>-16890</v>
      </c>
      <c r="Q103" s="168">
        <v>-16890</v>
      </c>
      <c r="R103" s="168">
        <v>-202680</v>
      </c>
      <c r="S103" s="19"/>
      <c r="T103" s="168">
        <v>-16890</v>
      </c>
      <c r="U103" s="168">
        <v>-16890</v>
      </c>
      <c r="V103" s="168">
        <v>-16890</v>
      </c>
      <c r="W103" s="168">
        <v>-16890</v>
      </c>
      <c r="X103" s="168">
        <v>-16890</v>
      </c>
      <c r="Y103" s="168">
        <v>-16890</v>
      </c>
      <c r="Z103" s="168">
        <v>-101340</v>
      </c>
      <c r="AA103" s="19"/>
      <c r="AB103" s="219">
        <f t="shared" si="30"/>
        <v>-101340</v>
      </c>
      <c r="AC103" s="224">
        <f t="shared" si="31"/>
        <v>0</v>
      </c>
      <c r="AD103" s="8">
        <f t="shared" si="32"/>
        <v>0</v>
      </c>
    </row>
    <row r="104" spans="1:30" x14ac:dyDescent="0.4">
      <c r="A104" s="62"/>
      <c r="B104" s="203" t="s">
        <v>225</v>
      </c>
      <c r="C104" s="169">
        <v>-183684</v>
      </c>
      <c r="D104" s="169">
        <v>-15307</v>
      </c>
      <c r="E104" s="204" t="s">
        <v>19</v>
      </c>
      <c r="F104" s="169">
        <v>-15307</v>
      </c>
      <c r="G104" s="169">
        <v>-15307</v>
      </c>
      <c r="H104" s="169">
        <v>-15307</v>
      </c>
      <c r="I104" s="169">
        <v>-15307</v>
      </c>
      <c r="J104" s="169">
        <v>-15307</v>
      </c>
      <c r="K104" s="169">
        <v>-15307</v>
      </c>
      <c r="L104" s="169">
        <v>-15307</v>
      </c>
      <c r="M104" s="169">
        <v>-15307</v>
      </c>
      <c r="N104" s="169">
        <v>-15307</v>
      </c>
      <c r="O104" s="169">
        <v>-15307</v>
      </c>
      <c r="P104" s="169">
        <v>-15307</v>
      </c>
      <c r="Q104" s="169">
        <v>-15307</v>
      </c>
      <c r="R104" s="169">
        <v>-183684</v>
      </c>
      <c r="S104" s="66"/>
      <c r="T104" s="169">
        <v>-15307</v>
      </c>
      <c r="U104" s="169">
        <v>-15307</v>
      </c>
      <c r="V104" s="169">
        <v>-15307</v>
      </c>
      <c r="W104" s="169">
        <v>-15307</v>
      </c>
      <c r="X104" s="169">
        <v>-15307</v>
      </c>
      <c r="Y104" s="169">
        <v>-15307</v>
      </c>
      <c r="Z104" s="169">
        <v>-91842</v>
      </c>
      <c r="AA104" s="66"/>
      <c r="AB104" s="215">
        <f t="shared" si="30"/>
        <v>-91842</v>
      </c>
      <c r="AC104" s="11">
        <f t="shared" si="31"/>
        <v>0</v>
      </c>
      <c r="AD104" s="12">
        <f t="shared" si="32"/>
        <v>0</v>
      </c>
    </row>
    <row r="105" spans="1:30" x14ac:dyDescent="0.4">
      <c r="A105" s="62"/>
      <c r="B105" s="203" t="s">
        <v>70</v>
      </c>
      <c r="C105" s="169">
        <v>-1385712</v>
      </c>
      <c r="D105" s="169">
        <v>-115476</v>
      </c>
      <c r="E105" s="204" t="s">
        <v>19</v>
      </c>
      <c r="F105" s="169">
        <v>-115576</v>
      </c>
      <c r="G105" s="169">
        <v>-115576</v>
      </c>
      <c r="H105" s="169">
        <v>-115576</v>
      </c>
      <c r="I105" s="169">
        <v>-115576</v>
      </c>
      <c r="J105" s="169">
        <v>-115576</v>
      </c>
      <c r="K105" s="169">
        <v>-115576</v>
      </c>
      <c r="L105" s="169">
        <v>-115576</v>
      </c>
      <c r="M105" s="169">
        <v>-115576</v>
      </c>
      <c r="N105" s="169">
        <v>-115576</v>
      </c>
      <c r="O105" s="169">
        <v>-115576</v>
      </c>
      <c r="P105" s="169">
        <v>-115576</v>
      </c>
      <c r="Q105" s="169">
        <v>-115576</v>
      </c>
      <c r="R105" s="169">
        <v>-1386912</v>
      </c>
      <c r="S105" s="19"/>
      <c r="T105" s="169">
        <f>SUM(T99:T104)</f>
        <v>-119513.37</v>
      </c>
      <c r="U105" s="169">
        <f t="shared" ref="U105:Z105" si="33">SUM(U99:U104)</f>
        <v>-115576</v>
      </c>
      <c r="V105" s="169">
        <f t="shared" si="33"/>
        <v>-121623</v>
      </c>
      <c r="W105" s="169">
        <f t="shared" si="33"/>
        <v>-119492.67</v>
      </c>
      <c r="X105" s="169">
        <f t="shared" si="33"/>
        <v>-119492.67</v>
      </c>
      <c r="Y105" s="169">
        <f t="shared" si="33"/>
        <v>-115576</v>
      </c>
      <c r="Z105" s="169">
        <f t="shared" si="33"/>
        <v>-711273.71</v>
      </c>
      <c r="AA105" s="18"/>
      <c r="AB105" s="169">
        <f>SUM(AB99:AB104)</f>
        <v>-693456</v>
      </c>
      <c r="AC105" s="169">
        <f>SUM(AC99:AC104)</f>
        <v>-17817.71</v>
      </c>
      <c r="AD105" s="12">
        <f t="shared" si="24"/>
        <v>2.5694074317620729E-2</v>
      </c>
    </row>
    <row r="106" spans="1:30" x14ac:dyDescent="0.4">
      <c r="A106" s="62"/>
      <c r="B106" s="203"/>
      <c r="C106" s="170"/>
      <c r="D106" s="170"/>
      <c r="E106" s="204" t="s">
        <v>19</v>
      </c>
      <c r="F106" s="170"/>
      <c r="G106" s="170"/>
      <c r="H106" s="170"/>
      <c r="I106" s="170"/>
      <c r="J106" s="170"/>
      <c r="K106" s="170"/>
      <c r="L106" s="170"/>
      <c r="M106" s="170"/>
      <c r="N106" s="170"/>
      <c r="O106" s="170"/>
      <c r="P106" s="170"/>
      <c r="Q106" s="170"/>
      <c r="R106" s="170"/>
      <c r="S106" s="66"/>
      <c r="T106" s="170"/>
      <c r="U106" s="170"/>
      <c r="V106" s="170"/>
      <c r="W106" s="170"/>
      <c r="X106" s="170"/>
      <c r="Y106" s="170"/>
      <c r="Z106" s="170"/>
      <c r="AA106" s="64"/>
      <c r="AB106" s="170"/>
      <c r="AC106" s="9"/>
      <c r="AD106" s="10"/>
    </row>
    <row r="107" spans="1:30" x14ac:dyDescent="0.4">
      <c r="A107" s="62"/>
      <c r="B107" s="203" t="s">
        <v>71</v>
      </c>
      <c r="C107" s="168">
        <v>-1439177.7</v>
      </c>
      <c r="D107" s="168">
        <v>-119931.47500000001</v>
      </c>
      <c r="E107" s="204" t="s">
        <v>19</v>
      </c>
      <c r="F107" s="168">
        <v>128566.66</v>
      </c>
      <c r="G107" s="168">
        <v>22373.91</v>
      </c>
      <c r="H107" s="168">
        <v>33173.910000000003</v>
      </c>
      <c r="I107" s="168">
        <v>21351.09</v>
      </c>
      <c r="J107" s="168">
        <v>70346.16</v>
      </c>
      <c r="K107" s="168">
        <v>67988.14</v>
      </c>
      <c r="L107" s="168">
        <v>42000</v>
      </c>
      <c r="M107" s="168">
        <v>-18042.55</v>
      </c>
      <c r="N107" s="168">
        <v>41068.58</v>
      </c>
      <c r="O107" s="168">
        <v>-23758.39</v>
      </c>
      <c r="P107" s="168">
        <v>-1635.09</v>
      </c>
      <c r="Q107" s="168">
        <v>32110.240000000002</v>
      </c>
      <c r="R107" s="168">
        <v>415542.66</v>
      </c>
      <c r="S107" s="66"/>
      <c r="T107" s="168">
        <f>+T96+T105</f>
        <v>-33457.14</v>
      </c>
      <c r="U107" s="168">
        <f t="shared" ref="U107:Z107" si="34">+U96+U105</f>
        <v>-360.36000000000058</v>
      </c>
      <c r="V107" s="168">
        <f t="shared" si="34"/>
        <v>30254.359999999986</v>
      </c>
      <c r="W107" s="168">
        <f t="shared" si="34"/>
        <v>-7076.1399999999994</v>
      </c>
      <c r="X107" s="168">
        <f t="shared" si="34"/>
        <v>-18888.199999999997</v>
      </c>
      <c r="Y107" s="168">
        <f t="shared" si="34"/>
        <v>10750.720000000001</v>
      </c>
      <c r="Z107" s="168">
        <f t="shared" si="34"/>
        <v>-18776.760000000009</v>
      </c>
      <c r="AA107" s="66"/>
      <c r="AB107" s="168">
        <f>SUM(F107:K107)</f>
        <v>343799.87</v>
      </c>
      <c r="AC107" s="4">
        <f>+Z107-AB107</f>
        <v>-362576.63</v>
      </c>
      <c r="AD107" s="5">
        <f t="shared" si="24"/>
        <v>-1.0546153784176824</v>
      </c>
    </row>
    <row r="108" spans="1:30" x14ac:dyDescent="0.4">
      <c r="A108" s="62"/>
      <c r="B108" s="203"/>
      <c r="C108" s="167"/>
      <c r="D108" s="167"/>
      <c r="E108" s="204" t="s">
        <v>19</v>
      </c>
      <c r="F108" s="167"/>
      <c r="G108" s="167"/>
      <c r="H108" s="167"/>
      <c r="I108" s="167"/>
      <c r="J108" s="167"/>
      <c r="K108" s="167"/>
      <c r="L108" s="167"/>
      <c r="M108" s="167"/>
      <c r="N108" s="167"/>
      <c r="O108" s="167"/>
      <c r="P108" s="167"/>
      <c r="Q108" s="167"/>
      <c r="R108" s="167"/>
      <c r="S108" s="19"/>
      <c r="T108" s="167"/>
      <c r="U108" s="167"/>
      <c r="V108" s="167"/>
      <c r="W108" s="167"/>
      <c r="X108" s="167"/>
      <c r="Y108" s="167"/>
      <c r="Z108" s="167"/>
      <c r="AA108" s="19"/>
      <c r="AB108" s="167"/>
      <c r="AC108" s="4"/>
      <c r="AD108" s="5"/>
    </row>
    <row r="109" spans="1:30" x14ac:dyDescent="0.4">
      <c r="A109" s="62"/>
      <c r="B109" s="203"/>
      <c r="C109" s="170"/>
      <c r="D109" s="170"/>
      <c r="E109" s="204" t="s">
        <v>19</v>
      </c>
      <c r="F109" s="170"/>
      <c r="G109" s="170"/>
      <c r="H109" s="170"/>
      <c r="I109" s="170"/>
      <c r="J109" s="170"/>
      <c r="K109" s="170"/>
      <c r="L109" s="170"/>
      <c r="M109" s="170"/>
      <c r="N109" s="170"/>
      <c r="O109" s="170"/>
      <c r="P109" s="170"/>
      <c r="Q109" s="170"/>
      <c r="R109" s="170"/>
      <c r="S109" s="66"/>
      <c r="T109" s="170"/>
      <c r="U109" s="170"/>
      <c r="V109" s="170"/>
      <c r="W109" s="170"/>
      <c r="X109" s="170"/>
      <c r="Y109" s="170"/>
      <c r="Z109" s="170"/>
      <c r="AA109" s="64"/>
      <c r="AB109" s="170"/>
      <c r="AC109" s="4"/>
      <c r="AD109" s="5"/>
    </row>
    <row r="110" spans="1:30" ht="15" thickBot="1" x14ac:dyDescent="0.45">
      <c r="A110" s="62"/>
      <c r="B110" s="203" t="s">
        <v>228</v>
      </c>
      <c r="C110" s="171">
        <v>2576654.73</v>
      </c>
      <c r="D110" s="171">
        <v>214721.22750000001</v>
      </c>
      <c r="E110" s="204" t="s">
        <v>19</v>
      </c>
      <c r="F110" s="171">
        <v>-91012.68</v>
      </c>
      <c r="G110" s="171">
        <v>43291.12</v>
      </c>
      <c r="H110" s="171">
        <v>29336.25</v>
      </c>
      <c r="I110" s="171">
        <v>86363.54</v>
      </c>
      <c r="J110" s="171">
        <v>-20619.39</v>
      </c>
      <c r="K110" s="171">
        <v>14636.53</v>
      </c>
      <c r="L110" s="171">
        <v>6882.21</v>
      </c>
      <c r="M110" s="171">
        <v>49270.34</v>
      </c>
      <c r="N110" s="171">
        <v>37854.99</v>
      </c>
      <c r="O110" s="171">
        <v>63754.95</v>
      </c>
      <c r="P110" s="171">
        <v>32992.160000000003</v>
      </c>
      <c r="Q110" s="171">
        <v>15953.74</v>
      </c>
      <c r="R110" s="171">
        <v>268703.76</v>
      </c>
      <c r="S110" s="66"/>
      <c r="T110" s="171">
        <f>+T16-T107</f>
        <v>47939.360000000001</v>
      </c>
      <c r="U110" s="171">
        <f t="shared" ref="U110:Z110" si="35">+U16-U107</f>
        <v>16465.800000000003</v>
      </c>
      <c r="V110" s="171">
        <f t="shared" si="35"/>
        <v>2708.0500000000175</v>
      </c>
      <c r="W110" s="171">
        <f t="shared" si="35"/>
        <v>306985.08999999997</v>
      </c>
      <c r="X110" s="171">
        <f t="shared" si="35"/>
        <v>61393.67</v>
      </c>
      <c r="Y110" s="171">
        <f t="shared" si="35"/>
        <v>7627.09</v>
      </c>
      <c r="Z110" s="171">
        <f t="shared" si="35"/>
        <v>443119.06000000006</v>
      </c>
      <c r="AA110" s="64"/>
      <c r="AB110" s="171">
        <f>SUM(F110:K110)</f>
        <v>61995.37000000001</v>
      </c>
      <c r="AC110" s="13">
        <f>+Z110-AB110</f>
        <v>381123.69000000006</v>
      </c>
      <c r="AD110" s="14">
        <f t="shared" si="24"/>
        <v>6.1476153783742236</v>
      </c>
    </row>
    <row r="111" spans="1:30" ht="15" thickTop="1" x14ac:dyDescent="0.4">
      <c r="A111" s="62"/>
      <c r="B111" s="203"/>
      <c r="C111" s="167"/>
      <c r="D111" s="167"/>
      <c r="E111" s="204" t="s">
        <v>19</v>
      </c>
      <c r="F111" s="167"/>
      <c r="G111" s="167"/>
      <c r="H111" s="167"/>
      <c r="I111" s="167"/>
      <c r="J111" s="167"/>
      <c r="K111" s="167"/>
      <c r="L111" s="167"/>
      <c r="M111" s="167"/>
      <c r="N111" s="167"/>
      <c r="O111" s="167"/>
      <c r="P111" s="167"/>
      <c r="Q111" s="167"/>
      <c r="R111" s="167"/>
      <c r="S111" s="66"/>
      <c r="T111" s="167"/>
      <c r="U111" s="167"/>
      <c r="V111" s="167"/>
      <c r="W111" s="167"/>
      <c r="X111" s="167"/>
      <c r="Y111" s="167"/>
      <c r="Z111" s="167"/>
      <c r="AB111" s="167"/>
      <c r="AC111" s="5"/>
    </row>
    <row r="112" spans="1:30" x14ac:dyDescent="0.4">
      <c r="A112" s="62"/>
      <c r="B112" s="203"/>
      <c r="C112" s="167"/>
      <c r="D112" s="167"/>
      <c r="E112" s="204" t="s">
        <v>19</v>
      </c>
      <c r="F112" s="167"/>
      <c r="G112" s="167"/>
      <c r="H112" s="167"/>
      <c r="I112" s="167"/>
      <c r="J112" s="167"/>
      <c r="K112" s="167"/>
      <c r="L112" s="167"/>
      <c r="M112" s="167"/>
      <c r="N112" s="167"/>
      <c r="O112" s="167"/>
      <c r="P112" s="167"/>
      <c r="Q112" s="167"/>
      <c r="R112" s="167"/>
      <c r="T112" s="167"/>
      <c r="U112" s="167"/>
      <c r="V112" s="167"/>
      <c r="W112" s="167"/>
      <c r="X112" s="167"/>
      <c r="Y112" s="167"/>
      <c r="Z112" s="167"/>
      <c r="AB112" s="167"/>
      <c r="AC112" s="5"/>
    </row>
    <row r="113" spans="1:29" x14ac:dyDescent="0.4">
      <c r="A113" s="62"/>
      <c r="B113" s="203"/>
      <c r="C113" s="167"/>
      <c r="D113" s="167"/>
      <c r="E113" s="204" t="s">
        <v>19</v>
      </c>
      <c r="F113" s="167"/>
      <c r="G113" s="167"/>
      <c r="H113" s="167"/>
      <c r="I113" s="167"/>
      <c r="J113" s="167"/>
      <c r="K113" s="167"/>
      <c r="L113" s="167"/>
      <c r="M113" s="167"/>
      <c r="N113" s="167"/>
      <c r="O113" s="167"/>
      <c r="P113" s="167"/>
      <c r="Q113" s="167"/>
      <c r="R113" s="167"/>
      <c r="T113" s="167"/>
      <c r="U113" s="167"/>
      <c r="V113" s="167"/>
      <c r="W113" s="167"/>
      <c r="X113" s="167"/>
      <c r="Y113" s="167"/>
      <c r="Z113" s="167"/>
      <c r="AC113" s="5"/>
    </row>
    <row r="114" spans="1:29" x14ac:dyDescent="0.4">
      <c r="AC114" s="5"/>
    </row>
    <row r="115" spans="1:29" x14ac:dyDescent="0.4">
      <c r="AC115" s="5"/>
    </row>
    <row r="116" spans="1:29" x14ac:dyDescent="0.4">
      <c r="AC116" s="5"/>
    </row>
    <row r="117" spans="1:29" x14ac:dyDescent="0.4">
      <c r="AC117" s="5"/>
    </row>
    <row r="118" spans="1:29" x14ac:dyDescent="0.4">
      <c r="AC118" s="5"/>
    </row>
    <row r="119" spans="1:29" x14ac:dyDescent="0.4">
      <c r="AC119" s="5"/>
    </row>
    <row r="120" spans="1:29" x14ac:dyDescent="0.4">
      <c r="AC120" s="5"/>
    </row>
    <row r="121" spans="1:29" x14ac:dyDescent="0.4">
      <c r="AB121" s="4"/>
      <c r="AC121" s="5"/>
    </row>
    <row r="122" spans="1:29" x14ac:dyDescent="0.4">
      <c r="AB122" s="4"/>
      <c r="AC122" s="5"/>
    </row>
    <row r="123" spans="1:29" x14ac:dyDescent="0.4">
      <c r="AB123" s="4"/>
      <c r="AC123" s="5"/>
    </row>
    <row r="124" spans="1:29" x14ac:dyDescent="0.4">
      <c r="AB124" s="4"/>
      <c r="AC124" s="5"/>
    </row>
    <row r="125" spans="1:29" x14ac:dyDescent="0.4">
      <c r="AB125" s="4"/>
      <c r="AC125" s="5"/>
    </row>
    <row r="126" spans="1:29" x14ac:dyDescent="0.4">
      <c r="AB126" s="4"/>
      <c r="AC126" s="5"/>
    </row>
    <row r="127" spans="1:29" x14ac:dyDescent="0.4">
      <c r="AB127" s="4"/>
      <c r="AC127" s="5"/>
    </row>
    <row r="128" spans="1:29" x14ac:dyDescent="0.4">
      <c r="AB128" s="4"/>
      <c r="AC128" s="5"/>
    </row>
    <row r="129" spans="28:29" x14ac:dyDescent="0.4">
      <c r="AB129" s="4"/>
      <c r="AC129" s="5"/>
    </row>
    <row r="130" spans="28:29" x14ac:dyDescent="0.4">
      <c r="AB130" s="4"/>
      <c r="AC130" s="5"/>
    </row>
    <row r="131" spans="28:29" x14ac:dyDescent="0.4">
      <c r="AB131" s="4"/>
      <c r="AC131" s="5"/>
    </row>
    <row r="132" spans="28:29" x14ac:dyDescent="0.4">
      <c r="AB132" s="4"/>
      <c r="AC132" s="5"/>
    </row>
    <row r="133" spans="28:29" x14ac:dyDescent="0.4">
      <c r="AB133" s="4"/>
      <c r="AC133" s="5"/>
    </row>
    <row r="134" spans="28:29" x14ac:dyDescent="0.4">
      <c r="AB134" s="4"/>
      <c r="AC134" s="5"/>
    </row>
    <row r="135" spans="28:29" x14ac:dyDescent="0.4">
      <c r="AB135" s="4"/>
      <c r="AC135" s="5"/>
    </row>
    <row r="136" spans="28:29" x14ac:dyDescent="0.4">
      <c r="AB136" s="4"/>
      <c r="AC136" s="5"/>
    </row>
    <row r="137" spans="28:29" x14ac:dyDescent="0.4">
      <c r="AB137" s="4"/>
      <c r="AC137" s="5"/>
    </row>
    <row r="138" spans="28:29" x14ac:dyDescent="0.4">
      <c r="AB138" s="4"/>
      <c r="AC138" s="5"/>
    </row>
    <row r="139" spans="28:29" x14ac:dyDescent="0.4">
      <c r="AB139" s="4"/>
      <c r="AC139" s="5"/>
    </row>
    <row r="140" spans="28:29" x14ac:dyDescent="0.4">
      <c r="AB140" s="4"/>
      <c r="AC140" s="5"/>
    </row>
    <row r="141" spans="28:29" x14ac:dyDescent="0.4">
      <c r="AB141" s="4"/>
      <c r="AC141" s="5"/>
    </row>
    <row r="142" spans="28:29" x14ac:dyDescent="0.4">
      <c r="AB142" s="4"/>
      <c r="AC142" s="5"/>
    </row>
    <row r="143" spans="28:29" x14ac:dyDescent="0.4">
      <c r="AB143" s="4"/>
      <c r="AC143" s="5"/>
    </row>
    <row r="144" spans="28:29" x14ac:dyDescent="0.4">
      <c r="AB144" s="4"/>
      <c r="AC144" s="5"/>
    </row>
    <row r="145" spans="28:29" x14ac:dyDescent="0.4">
      <c r="AB145" s="4"/>
      <c r="AC145" s="5"/>
    </row>
    <row r="146" spans="28:29" x14ac:dyDescent="0.4">
      <c r="AB146" s="4"/>
      <c r="AC146" s="5"/>
    </row>
    <row r="147" spans="28:29" x14ac:dyDescent="0.4">
      <c r="AB147" s="4"/>
      <c r="AC147" s="5"/>
    </row>
    <row r="148" spans="28:29" x14ac:dyDescent="0.4">
      <c r="AB148" s="4"/>
      <c r="AC148" s="5"/>
    </row>
    <row r="149" spans="28:29" x14ac:dyDescent="0.4">
      <c r="AB149" s="4"/>
      <c r="AC149" s="5"/>
    </row>
    <row r="150" spans="28:29" x14ac:dyDescent="0.4">
      <c r="AB150" s="4"/>
      <c r="AC150" s="5"/>
    </row>
    <row r="151" spans="28:29" x14ac:dyDescent="0.4">
      <c r="AB151" s="4"/>
      <c r="AC151" s="5"/>
    </row>
    <row r="152" spans="28:29" x14ac:dyDescent="0.4">
      <c r="AB152" s="4"/>
      <c r="AC152" s="5"/>
    </row>
    <row r="153" spans="28:29" x14ac:dyDescent="0.4">
      <c r="AB153" s="4"/>
      <c r="AC153" s="5"/>
    </row>
    <row r="154" spans="28:29" x14ac:dyDescent="0.4">
      <c r="AB154" s="4"/>
      <c r="AC154" s="5"/>
    </row>
    <row r="155" spans="28:29" x14ac:dyDescent="0.4">
      <c r="AB155" s="4"/>
      <c r="AC155" s="5"/>
    </row>
    <row r="156" spans="28:29" x14ac:dyDescent="0.4">
      <c r="AB156" s="4"/>
      <c r="AC156" s="5"/>
    </row>
    <row r="157" spans="28:29" x14ac:dyDescent="0.4">
      <c r="AB157" s="4"/>
      <c r="AC157" s="5"/>
    </row>
    <row r="158" spans="28:29" x14ac:dyDescent="0.4">
      <c r="AB158" s="4"/>
      <c r="AC158" s="5"/>
    </row>
    <row r="159" spans="28:29" x14ac:dyDescent="0.4">
      <c r="AB159" s="4"/>
      <c r="AC159" s="5"/>
    </row>
    <row r="160" spans="28:29" x14ac:dyDescent="0.4">
      <c r="AB160" s="4"/>
      <c r="AC160" s="5"/>
    </row>
    <row r="161" spans="28:29" x14ac:dyDescent="0.4">
      <c r="AB161" s="4"/>
      <c r="AC161" s="5"/>
    </row>
    <row r="162" spans="28:29" x14ac:dyDescent="0.4">
      <c r="AB162" s="4"/>
      <c r="AC162" s="5"/>
    </row>
    <row r="163" spans="28:29" x14ac:dyDescent="0.4">
      <c r="AB163" s="4"/>
      <c r="AC163" s="5"/>
    </row>
    <row r="164" spans="28:29" x14ac:dyDescent="0.4">
      <c r="AB164" s="4"/>
      <c r="AC164" s="5"/>
    </row>
    <row r="165" spans="28:29" x14ac:dyDescent="0.4">
      <c r="AB165" s="4"/>
      <c r="AC165" s="5"/>
    </row>
    <row r="166" spans="28:29" x14ac:dyDescent="0.4">
      <c r="AB166" s="4"/>
      <c r="AC166" s="5"/>
    </row>
    <row r="167" spans="28:29" x14ac:dyDescent="0.4">
      <c r="AB167" s="4"/>
      <c r="AC167" s="5"/>
    </row>
    <row r="168" spans="28:29" x14ac:dyDescent="0.4">
      <c r="AB168" s="4"/>
      <c r="AC168" s="5"/>
    </row>
    <row r="169" spans="28:29" x14ac:dyDescent="0.4">
      <c r="AB169" s="4"/>
      <c r="AC169" s="5"/>
    </row>
    <row r="170" spans="28:29" x14ac:dyDescent="0.4">
      <c r="AB170" s="4"/>
      <c r="AC170" s="5"/>
    </row>
    <row r="171" spans="28:29" x14ac:dyDescent="0.4">
      <c r="AB171" s="4"/>
      <c r="AC171" s="5"/>
    </row>
    <row r="172" spans="28:29" x14ac:dyDescent="0.4">
      <c r="AB172" s="4"/>
      <c r="AC172" s="5"/>
    </row>
    <row r="173" spans="28:29" x14ac:dyDescent="0.4">
      <c r="AB173" s="4"/>
      <c r="AC173" s="5"/>
    </row>
    <row r="174" spans="28:29" x14ac:dyDescent="0.4">
      <c r="AB174" s="4"/>
      <c r="AC174" s="5"/>
    </row>
    <row r="175" spans="28:29" x14ac:dyDescent="0.4">
      <c r="AB175" s="4"/>
      <c r="AC175" s="5"/>
    </row>
    <row r="176" spans="28:29" x14ac:dyDescent="0.4">
      <c r="AB176" s="4"/>
      <c r="AC176" s="5"/>
    </row>
    <row r="177" spans="28:29" x14ac:dyDescent="0.4">
      <c r="AB177" s="4"/>
      <c r="AC177" s="5"/>
    </row>
    <row r="178" spans="28:29" x14ac:dyDescent="0.4">
      <c r="AB178" s="4"/>
      <c r="AC178" s="5"/>
    </row>
    <row r="179" spans="28:29" x14ac:dyDescent="0.4">
      <c r="AB179" s="4"/>
      <c r="AC179" s="5"/>
    </row>
    <row r="180" spans="28:29" x14ac:dyDescent="0.4">
      <c r="AB180" s="4"/>
      <c r="AC180" s="5"/>
    </row>
    <row r="181" spans="28:29" x14ac:dyDescent="0.4">
      <c r="AB181" s="4"/>
      <c r="AC181" s="5"/>
    </row>
    <row r="182" spans="28:29" x14ac:dyDescent="0.4">
      <c r="AB182" s="4"/>
      <c r="AC182" s="5"/>
    </row>
    <row r="183" spans="28:29" x14ac:dyDescent="0.4">
      <c r="AB183" s="4"/>
      <c r="AC183" s="5"/>
    </row>
    <row r="184" spans="28:29" x14ac:dyDescent="0.4">
      <c r="AB184" s="4"/>
      <c r="AC184" s="5"/>
    </row>
    <row r="185" spans="28:29" x14ac:dyDescent="0.4">
      <c r="AB185" s="4"/>
      <c r="AC185" s="5"/>
    </row>
    <row r="186" spans="28:29" x14ac:dyDescent="0.4">
      <c r="AB186" s="4"/>
      <c r="AC186" s="5"/>
    </row>
    <row r="187" spans="28:29" x14ac:dyDescent="0.4">
      <c r="AB187" s="4"/>
      <c r="AC187" s="5"/>
    </row>
    <row r="188" spans="28:29" x14ac:dyDescent="0.4">
      <c r="AB188" s="4"/>
      <c r="AC188" s="5"/>
    </row>
    <row r="189" spans="28:29" x14ac:dyDescent="0.4">
      <c r="AB189" s="4"/>
      <c r="AC189" s="5"/>
    </row>
    <row r="190" spans="28:29" x14ac:dyDescent="0.4">
      <c r="AB190" s="4"/>
      <c r="AC190" s="5"/>
    </row>
    <row r="191" spans="28:29" x14ac:dyDescent="0.4">
      <c r="AB191" s="4"/>
      <c r="AC191" s="5"/>
    </row>
    <row r="192" spans="28:29" x14ac:dyDescent="0.4">
      <c r="AB192" s="4"/>
      <c r="AC192" s="5"/>
    </row>
    <row r="193" spans="28:29" x14ac:dyDescent="0.4">
      <c r="AB193" s="4"/>
      <c r="AC193" s="5"/>
    </row>
    <row r="194" spans="28:29" x14ac:dyDescent="0.4">
      <c r="AB194" s="4"/>
      <c r="AC194" s="5"/>
    </row>
    <row r="195" spans="28:29" x14ac:dyDescent="0.4">
      <c r="AB195" s="4"/>
      <c r="AC195" s="5"/>
    </row>
    <row r="196" spans="28:29" x14ac:dyDescent="0.4">
      <c r="AB196" s="4"/>
      <c r="AC196" s="5"/>
    </row>
    <row r="197" spans="28:29" x14ac:dyDescent="0.4">
      <c r="AB197" s="4"/>
      <c r="AC197" s="5"/>
    </row>
    <row r="198" spans="28:29" x14ac:dyDescent="0.4">
      <c r="AB198" s="4"/>
      <c r="AC198" s="5"/>
    </row>
    <row r="199" spans="28:29" x14ac:dyDescent="0.4">
      <c r="AB199" s="4"/>
      <c r="AC199" s="5"/>
    </row>
    <row r="200" spans="28:29" x14ac:dyDescent="0.4">
      <c r="AB200" s="4"/>
      <c r="AC200" s="5"/>
    </row>
    <row r="201" spans="28:29" x14ac:dyDescent="0.4">
      <c r="AB201" s="4"/>
      <c r="AC201" s="5"/>
    </row>
    <row r="202" spans="28:29" x14ac:dyDescent="0.4">
      <c r="AB202" s="4"/>
      <c r="AC202" s="5"/>
    </row>
    <row r="203" spans="28:29" x14ac:dyDescent="0.4">
      <c r="AB203" s="4"/>
      <c r="AC203" s="5"/>
    </row>
    <row r="204" spans="28:29" x14ac:dyDescent="0.4">
      <c r="AB204" s="4"/>
      <c r="AC204" s="5"/>
    </row>
    <row r="205" spans="28:29" x14ac:dyDescent="0.4">
      <c r="AB205" s="4"/>
      <c r="AC205" s="5"/>
    </row>
    <row r="206" spans="28:29" x14ac:dyDescent="0.4">
      <c r="AB206" s="4"/>
      <c r="AC206" s="5"/>
    </row>
    <row r="207" spans="28:29" x14ac:dyDescent="0.4">
      <c r="AB207" s="4"/>
      <c r="AC207" s="5"/>
    </row>
    <row r="208" spans="28:29" x14ac:dyDescent="0.4">
      <c r="AB208" s="4"/>
      <c r="AC208" s="5"/>
    </row>
    <row r="209" spans="28:29" x14ac:dyDescent="0.4">
      <c r="AB209" s="4"/>
      <c r="AC209" s="5"/>
    </row>
    <row r="210" spans="28:29" x14ac:dyDescent="0.4">
      <c r="AB210" s="4"/>
      <c r="AC210" s="5"/>
    </row>
    <row r="211" spans="28:29" x14ac:dyDescent="0.4">
      <c r="AB211" s="4"/>
      <c r="AC211" s="5"/>
    </row>
    <row r="212" spans="28:29" x14ac:dyDescent="0.4">
      <c r="AB212" s="4"/>
      <c r="AC212" s="5"/>
    </row>
    <row r="213" spans="28:29" x14ac:dyDescent="0.4">
      <c r="AB213" s="4"/>
      <c r="AC213" s="5"/>
    </row>
    <row r="214" spans="28:29" x14ac:dyDescent="0.4">
      <c r="AB214" s="4"/>
      <c r="AC214" s="5"/>
    </row>
    <row r="215" spans="28:29" x14ac:dyDescent="0.4">
      <c r="AB215" s="4"/>
      <c r="AC215" s="5"/>
    </row>
    <row r="216" spans="28:29" x14ac:dyDescent="0.4">
      <c r="AB216" s="4"/>
      <c r="AC216" s="5"/>
    </row>
    <row r="217" spans="28:29" x14ac:dyDescent="0.4">
      <c r="AB217" s="4"/>
      <c r="AC217" s="5"/>
    </row>
    <row r="218" spans="28:29" x14ac:dyDescent="0.4">
      <c r="AB218" s="4"/>
      <c r="AC218" s="5"/>
    </row>
    <row r="219" spans="28:29" x14ac:dyDescent="0.4">
      <c r="AB219" s="4"/>
      <c r="AC219" s="5"/>
    </row>
    <row r="220" spans="28:29" x14ac:dyDescent="0.4">
      <c r="AB220" s="4"/>
      <c r="AC220" s="5"/>
    </row>
    <row r="221" spans="28:29" x14ac:dyDescent="0.4">
      <c r="AB221" s="4"/>
      <c r="AC221" s="5"/>
    </row>
    <row r="222" spans="28:29" x14ac:dyDescent="0.4">
      <c r="AB222" s="4"/>
      <c r="AC222" s="5"/>
    </row>
    <row r="223" spans="28:29" x14ac:dyDescent="0.4">
      <c r="AB223" s="4"/>
      <c r="AC223" s="5"/>
    </row>
    <row r="224" spans="28:29" x14ac:dyDescent="0.4">
      <c r="AB224" s="4"/>
      <c r="AC224" s="5"/>
    </row>
    <row r="225" spans="28:29" x14ac:dyDescent="0.4">
      <c r="AB225" s="4"/>
      <c r="AC225" s="5"/>
    </row>
    <row r="226" spans="28:29" x14ac:dyDescent="0.4">
      <c r="AB226" s="4"/>
      <c r="AC226" s="5"/>
    </row>
    <row r="227" spans="28:29" x14ac:dyDescent="0.4">
      <c r="AB227" s="4"/>
      <c r="AC227" s="5"/>
    </row>
    <row r="228" spans="28:29" x14ac:dyDescent="0.4">
      <c r="AB228" s="4"/>
      <c r="AC228" s="5"/>
    </row>
    <row r="229" spans="28:29" x14ac:dyDescent="0.4">
      <c r="AB229" s="4"/>
      <c r="AC229" s="5"/>
    </row>
    <row r="230" spans="28:29" x14ac:dyDescent="0.4">
      <c r="AB230" s="4"/>
      <c r="AC230" s="5"/>
    </row>
    <row r="231" spans="28:29" x14ac:dyDescent="0.4">
      <c r="AB231" s="4"/>
      <c r="AC231" s="5"/>
    </row>
    <row r="232" spans="28:29" x14ac:dyDescent="0.4">
      <c r="AB232" s="4"/>
      <c r="AC232" s="5"/>
    </row>
    <row r="233" spans="28:29" x14ac:dyDescent="0.4">
      <c r="AB233" s="4"/>
      <c r="AC233" s="5"/>
    </row>
    <row r="234" spans="28:29" x14ac:dyDescent="0.4">
      <c r="AB234" s="4"/>
      <c r="AC234" s="5"/>
    </row>
    <row r="235" spans="28:29" x14ac:dyDescent="0.4">
      <c r="AB235" s="4"/>
      <c r="AC235" s="5"/>
    </row>
    <row r="236" spans="28:29" x14ac:dyDescent="0.4">
      <c r="AB236" s="4"/>
      <c r="AC236" s="5"/>
    </row>
    <row r="237" spans="28:29" x14ac:dyDescent="0.4">
      <c r="AB237" s="4"/>
      <c r="AC237" s="5"/>
    </row>
    <row r="238" spans="28:29" x14ac:dyDescent="0.4">
      <c r="AB238" s="4"/>
      <c r="AC238" s="5"/>
    </row>
    <row r="239" spans="28:29" x14ac:dyDescent="0.4">
      <c r="AB239" s="4"/>
      <c r="AC239" s="5"/>
    </row>
    <row r="240" spans="28:29" x14ac:dyDescent="0.4">
      <c r="AB240" s="4"/>
      <c r="AC240" s="5"/>
    </row>
    <row r="241" spans="28:29" x14ac:dyDescent="0.4">
      <c r="AB241" s="4"/>
      <c r="AC241" s="5"/>
    </row>
    <row r="242" spans="28:29" x14ac:dyDescent="0.4">
      <c r="AB242" s="4"/>
      <c r="AC242" s="5"/>
    </row>
    <row r="243" spans="28:29" x14ac:dyDescent="0.4">
      <c r="AB243" s="4"/>
      <c r="AC243" s="5"/>
    </row>
    <row r="244" spans="28:29" x14ac:dyDescent="0.4">
      <c r="AB244" s="4"/>
      <c r="AC244" s="5"/>
    </row>
    <row r="245" spans="28:29" x14ac:dyDescent="0.4">
      <c r="AB245" s="4"/>
      <c r="AC245" s="5"/>
    </row>
    <row r="246" spans="28:29" x14ac:dyDescent="0.4">
      <c r="AB246" s="4"/>
      <c r="AC246" s="5"/>
    </row>
    <row r="247" spans="28:29" x14ac:dyDescent="0.4">
      <c r="AB247" s="4"/>
      <c r="AC247" s="5"/>
    </row>
    <row r="248" spans="28:29" x14ac:dyDescent="0.4">
      <c r="AB248" s="4"/>
      <c r="AC248" s="5"/>
    </row>
    <row r="249" spans="28:29" x14ac:dyDescent="0.4">
      <c r="AB249" s="4"/>
      <c r="AC249" s="5"/>
    </row>
    <row r="250" spans="28:29" x14ac:dyDescent="0.4">
      <c r="AB250" s="4"/>
      <c r="AC250" s="5"/>
    </row>
    <row r="251" spans="28:29" x14ac:dyDescent="0.4">
      <c r="AB251" s="4"/>
      <c r="AC251" s="5"/>
    </row>
    <row r="252" spans="28:29" x14ac:dyDescent="0.4">
      <c r="AB252" s="4"/>
      <c r="AC252" s="5"/>
    </row>
    <row r="253" spans="28:29" x14ac:dyDescent="0.4">
      <c r="AB253" s="4"/>
      <c r="AC253" s="5"/>
    </row>
    <row r="254" spans="28:29" x14ac:dyDescent="0.4">
      <c r="AB254" s="4"/>
      <c r="AC254" s="5"/>
    </row>
    <row r="255" spans="28:29" x14ac:dyDescent="0.4">
      <c r="AB255" s="4"/>
      <c r="AC255" s="5"/>
    </row>
    <row r="256" spans="28:29" x14ac:dyDescent="0.4">
      <c r="AB256" s="4"/>
      <c r="AC256" s="5"/>
    </row>
    <row r="257" spans="28:29" x14ac:dyDescent="0.4">
      <c r="AB257" s="4"/>
      <c r="AC257" s="5"/>
    </row>
    <row r="258" spans="28:29" x14ac:dyDescent="0.4">
      <c r="AB258" s="4"/>
      <c r="AC258" s="5"/>
    </row>
    <row r="259" spans="28:29" x14ac:dyDescent="0.4">
      <c r="AB259" s="4"/>
      <c r="AC259" s="5"/>
    </row>
    <row r="260" spans="28:29" x14ac:dyDescent="0.4">
      <c r="AB260" s="4"/>
      <c r="AC260" s="5"/>
    </row>
    <row r="261" spans="28:29" x14ac:dyDescent="0.4">
      <c r="AB261" s="4"/>
      <c r="AC261" s="5"/>
    </row>
    <row r="262" spans="28:29" x14ac:dyDescent="0.4">
      <c r="AB262" s="4"/>
      <c r="AC262" s="5"/>
    </row>
    <row r="263" spans="28:29" x14ac:dyDescent="0.4">
      <c r="AB263" s="4"/>
      <c r="AC263" s="5"/>
    </row>
    <row r="264" spans="28:29" x14ac:dyDescent="0.4">
      <c r="AB264" s="4"/>
      <c r="AC264" s="5"/>
    </row>
    <row r="265" spans="28:29" x14ac:dyDescent="0.4">
      <c r="AB265" s="4"/>
      <c r="AC265" s="5"/>
    </row>
    <row r="266" spans="28:29" x14ac:dyDescent="0.4">
      <c r="AB266" s="4"/>
      <c r="AC266" s="5"/>
    </row>
    <row r="267" spans="28:29" x14ac:dyDescent="0.4">
      <c r="AB267" s="4"/>
      <c r="AC267" s="5"/>
    </row>
    <row r="268" spans="28:29" x14ac:dyDescent="0.4">
      <c r="AB268" s="4"/>
      <c r="AC268" s="5"/>
    </row>
    <row r="269" spans="28:29" x14ac:dyDescent="0.4">
      <c r="AB269" s="4"/>
      <c r="AC269" s="5"/>
    </row>
    <row r="270" spans="28:29" x14ac:dyDescent="0.4">
      <c r="AB270" s="4"/>
      <c r="AC270" s="5"/>
    </row>
    <row r="271" spans="28:29" x14ac:dyDescent="0.4">
      <c r="AB271" s="4"/>
      <c r="AC271" s="5"/>
    </row>
    <row r="272" spans="28:29" x14ac:dyDescent="0.4">
      <c r="AB272" s="4"/>
      <c r="AC272" s="5"/>
    </row>
    <row r="273" spans="28:29" x14ac:dyDescent="0.4">
      <c r="AB273" s="4"/>
      <c r="AC273" s="5"/>
    </row>
    <row r="274" spans="28:29" x14ac:dyDescent="0.4">
      <c r="AB274" s="4"/>
      <c r="AC274" s="5"/>
    </row>
    <row r="275" spans="28:29" x14ac:dyDescent="0.4">
      <c r="AB275" s="4"/>
      <c r="AC275" s="5"/>
    </row>
    <row r="276" spans="28:29" x14ac:dyDescent="0.4">
      <c r="AB276" s="4"/>
      <c r="AC276" s="5"/>
    </row>
    <row r="277" spans="28:29" x14ac:dyDescent="0.4">
      <c r="AB277" s="4"/>
      <c r="AC277" s="5"/>
    </row>
    <row r="278" spans="28:29" x14ac:dyDescent="0.4">
      <c r="AB278" s="4"/>
      <c r="AC278" s="39"/>
    </row>
    <row r="279" spans="28:29" x14ac:dyDescent="0.4">
      <c r="AB279" s="4"/>
      <c r="AC279" s="39"/>
    </row>
    <row r="280" spans="28:29" x14ac:dyDescent="0.4">
      <c r="AB280" s="4"/>
      <c r="AC280" s="39"/>
    </row>
    <row r="281" spans="28:29" x14ac:dyDescent="0.4">
      <c r="AB281" s="39"/>
      <c r="AC281" s="39"/>
    </row>
    <row r="282" spans="28:29" x14ac:dyDescent="0.4">
      <c r="AB282" s="39"/>
      <c r="AC282" s="39"/>
    </row>
    <row r="283" spans="28:29" x14ac:dyDescent="0.4">
      <c r="AB283" s="39"/>
      <c r="AC283" s="39"/>
    </row>
  </sheetData>
  <mergeCells count="3">
    <mergeCell ref="A1:AC1"/>
    <mergeCell ref="A2:AC2"/>
    <mergeCell ref="A3:A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Consolidated</vt:lpstr>
      <vt:lpstr>Calcs</vt:lpstr>
      <vt:lpstr>KPFA</vt:lpstr>
      <vt:lpstr>KPFK</vt:lpstr>
      <vt:lpstr>KPFT</vt:lpstr>
      <vt:lpstr>WBAI</vt:lpstr>
      <vt:lpstr>WPFW</vt:lpstr>
      <vt:lpstr>PAN</vt:lpstr>
      <vt:lpstr>PNO</vt:lpstr>
      <vt:lpstr>PRA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Tamra Swiderski</dc:creator>
  <cp:lastModifiedBy>Owner</cp:lastModifiedBy>
  <dcterms:created xsi:type="dcterms:W3CDTF">2020-01-23T15:56:29Z</dcterms:created>
  <dcterms:modified xsi:type="dcterms:W3CDTF">2021-06-27T23:42:32Z</dcterms:modified>
</cp:coreProperties>
</file>